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workbookPassword="BBBC" lockStructure="1"/>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Setup" sheetId="2" state="visible" r:id="rId2"/>
    <sheet xmlns:r="http://schemas.openxmlformats.org/officeDocument/2006/relationships" name="Map" sheetId="3" state="veryHidden" r:id="rId3"/>
    <sheet xmlns:r="http://schemas.openxmlformats.org/officeDocument/2006/relationships" name="TB" sheetId="4" state="visible" r:id="rId4"/>
    <sheet xmlns:r="http://schemas.openxmlformats.org/officeDocument/2006/relationships" name="Map Guide" sheetId="5" state="visible" r:id="rId5"/>
    <sheet xmlns:r="http://schemas.openxmlformats.org/officeDocument/2006/relationships" name="Calc" sheetId="6" state="veryHidden" r:id="rId6"/>
    <sheet xmlns:r="http://schemas.openxmlformats.org/officeDocument/2006/relationships" name="Borrowings" sheetId="7" state="visible" r:id="rId7"/>
    <sheet xmlns:r="http://schemas.openxmlformats.org/officeDocument/2006/relationships" name="Ageing" sheetId="8" state="visible" r:id="rId8"/>
    <sheet xmlns:r="http://schemas.openxmlformats.org/officeDocument/2006/relationships" name="EPS" sheetId="9" state="visible" r:id="rId9"/>
    <sheet xmlns:r="http://schemas.openxmlformats.org/officeDocument/2006/relationships" name="BS" sheetId="10" state="visible" r:id="rId10"/>
    <sheet xmlns:r="http://schemas.openxmlformats.org/officeDocument/2006/relationships" name="PL" sheetId="11" state="visible" r:id="rId11"/>
    <sheet xmlns:r="http://schemas.openxmlformats.org/officeDocument/2006/relationships" name="Policies" sheetId="12" state="visible" r:id="rId12"/>
    <sheet xmlns:r="http://schemas.openxmlformats.org/officeDocument/2006/relationships" name="Shareholding" sheetId="13" state="visible" r:id="rId13"/>
    <sheet xmlns:r="http://schemas.openxmlformats.org/officeDocument/2006/relationships" name="Notes-BS" sheetId="14" state="visible" r:id="rId14"/>
    <sheet xmlns:r="http://schemas.openxmlformats.org/officeDocument/2006/relationships" name="Notes-PL" sheetId="15" state="visible" r:id="rId15"/>
    <sheet xmlns:r="http://schemas.openxmlformats.org/officeDocument/2006/relationships" name="Ratios" sheetId="16" state="visible" r:id="rId16"/>
    <sheet xmlns:r="http://schemas.openxmlformats.org/officeDocument/2006/relationships" name="RegDisclosures" sheetId="17" state="visible" r:id="rId17"/>
    <sheet xmlns:r="http://schemas.openxmlformats.org/officeDocument/2006/relationships" name="CashFlow" sheetId="18" state="visible" r:id="rId18"/>
    <sheet xmlns:r="http://schemas.openxmlformats.org/officeDocument/2006/relationships" name="Checks" sheetId="19" state="visible" r:id="rId19"/>
  </sheets>
  <definedNames>
    <definedName name="RND">Setup!$C$26</definedName>
    <definedName name="BSD">Setup!$C$9</definedName>
    <definedName name="PBSD">Setup!$C$11</definedName>
    <definedName name="_xlnm.Print_Area" localSheetId="9">'BS'!$B$1:$E$57</definedName>
    <definedName name="_xlnm.Print_Area" localSheetId="10">'PL'!$B$1:$E$44</definedName>
    <definedName name="_xlnm.Print_Area" localSheetId="12">'Shareholding'!$B$1:$G$43</definedName>
    <definedName name="_xlnm.Print_Area" localSheetId="17">'CashFlow'!$B$1:$D$53</definedName>
  </definedNames>
  <calcPr calcId="124519" fullCalcOnLoad="1"/>
</workbook>
</file>

<file path=xl/styles.xml><?xml version="1.0" encoding="utf-8"?>
<styleSheet xmlns="http://schemas.openxmlformats.org/spreadsheetml/2006/main">
  <numFmts count="5">
    <numFmt numFmtId="164" formatCode="dd-mm-yyyy"/>
    <numFmt numFmtId="165" formatCode="#,##0;(#,##0);&quot;-&quot;"/>
    <numFmt numFmtId="166" formatCode="0.00;(0.00);&quot;-&quot;"/>
    <numFmt numFmtId="167" formatCode="#,##0.00;(#,##0.00);&quot;-&quot;"/>
    <numFmt numFmtId="168" formatCode="0.0%;(0.0%);&quot;-&quot;"/>
  </numFmts>
  <fonts count="12">
    <font>
      <name val="Calibri"/>
      <family val="2"/>
      <color theme="1"/>
      <sz val="11"/>
      <scheme val="minor"/>
    </font>
    <font>
      <name val="Arial"/>
      <b val="1"/>
      <color rgb="FF1E3A8A"/>
      <sz val="26"/>
    </font>
    <font>
      <name val="Arial"/>
      <color rgb="FFF97316"/>
      <sz val="11"/>
    </font>
    <font>
      <name val="Arial"/>
      <b val="1"/>
      <color rgb="FF0F2A4A"/>
      <sz val="14"/>
    </font>
    <font>
      <name val="Arial"/>
      <sz val="10"/>
    </font>
    <font>
      <name val="Arial"/>
      <b val="1"/>
      <color rgb="FF1E3A8A"/>
      <sz val="10"/>
    </font>
    <font>
      <name val="Arial"/>
      <color rgb="FF0000FF"/>
      <sz val="10"/>
    </font>
    <font>
      <name val="Arial"/>
      <color rgb="FF5A6672"/>
      <sz val="8"/>
    </font>
    <font>
      <name val="Arial"/>
      <b val="1"/>
      <color rgb="FFFFFFFF"/>
      <sz val="11"/>
    </font>
    <font>
      <name val="Arial"/>
      <b val="1"/>
      <sz val="10"/>
    </font>
    <font>
      <name val="Arial"/>
      <color rgb="FF008000"/>
      <sz val="10"/>
    </font>
    <font>
      <name val="Arial"/>
      <b val="1"/>
      <color rgb="FFB91C1C"/>
      <sz val="10"/>
    </font>
  </fonts>
  <fills count="5">
    <fill>
      <patternFill/>
    </fill>
    <fill>
      <patternFill patternType="gray125"/>
    </fill>
    <fill>
      <patternFill patternType="solid">
        <fgColor rgb="FFFFF4C2"/>
      </patternFill>
    </fill>
    <fill>
      <patternFill patternType="solid">
        <fgColor rgb="FF1E3A8A"/>
      </patternFill>
    </fill>
    <fill>
      <patternFill patternType="solid">
        <fgColor rgb="FFE8EEF5"/>
      </patternFill>
    </fill>
  </fills>
  <borders count="6">
    <border>
      <left/>
      <right/>
      <top/>
      <bottom/>
      <diagonal/>
    </border>
    <border>
      <left style="thin">
        <color rgb="FFD8E1EA"/>
      </left>
      <right style="thin">
        <color rgb="FFD8E1EA"/>
      </right>
      <top style="thin">
        <color rgb="FFD8E1EA"/>
      </top>
      <bottom style="thin">
        <color rgb="FFD8E1EA"/>
      </bottom>
    </border>
    <border>
      <left/>
      <right/>
      <top style="thin">
        <color rgb="FFD8E1EA"/>
      </top>
      <bottom/>
      <diagonal/>
    </border>
    <border>
      <left/>
      <right style="thin">
        <color rgb="FFD8E1EA"/>
      </right>
      <top style="thin">
        <color rgb="FFD8E1EA"/>
      </top>
      <bottom/>
      <diagonal/>
    </border>
    <border>
      <left/>
      <right/>
      <top style="thin">
        <color rgb="FFD8E1EA"/>
      </top>
      <bottom style="thin">
        <color rgb="FFD8E1EA"/>
      </bottom>
      <diagonal/>
    </border>
    <border>
      <left/>
      <right style="thin">
        <color rgb="FFD8E1EA"/>
      </right>
      <top style="thin">
        <color rgb="FFD8E1EA"/>
      </top>
      <bottom style="thin">
        <color rgb="FFD8E1EA"/>
      </bottom>
      <diagonal/>
    </border>
  </borders>
  <cellStyleXfs count="1">
    <xf numFmtId="0" fontId="0" fillId="0" borderId="0"/>
  </cellStyleXfs>
  <cellXfs count="59">
    <xf numFmtId="0" fontId="0" fillId="0" borderId="0" pivotButton="0" quotePrefix="0" xfId="0"/>
    <xf numFmtId="0" fontId="1" fillId="0" borderId="0" pivotButton="0" quotePrefix="0" xfId="0"/>
    <xf numFmtId="0" fontId="2" fillId="0" borderId="0" pivotButton="0" quotePrefix="0" xfId="0"/>
    <xf numFmtId="0" fontId="3" fillId="0" borderId="0" pivotButton="0" quotePrefix="0" xfId="0"/>
    <xf numFmtId="0" fontId="4" fillId="0" borderId="0" pivotButton="0" quotePrefix="0" xfId="0"/>
    <xf numFmtId="0" fontId="5" fillId="0" borderId="0" pivotButton="0" quotePrefix="0" xfId="0"/>
    <xf numFmtId="0" fontId="6" fillId="2" borderId="1" pivotButton="0" quotePrefix="0" xfId="0"/>
    <xf numFmtId="0" fontId="7" fillId="0" borderId="0" pivotButton="0" quotePrefix="0" xfId="0"/>
    <xf numFmtId="164" fontId="6" fillId="2" borderId="1" pivotButton="0" quotePrefix="0" xfId="0"/>
    <xf numFmtId="165" fontId="6" fillId="2" borderId="1" pivotButton="0" quotePrefix="0" xfId="0"/>
    <xf numFmtId="165" fontId="4" fillId="0" borderId="1" pivotButton="0" quotePrefix="0" xfId="0"/>
    <xf numFmtId="0" fontId="4" fillId="0" borderId="1" pivotButton="0" quotePrefix="0" xfId="0"/>
    <xf numFmtId="0" fontId="8" fillId="3" borderId="1" applyAlignment="1" pivotButton="0" quotePrefix="0" xfId="0">
      <alignment horizontal="center" vertical="center" wrapText="1"/>
    </xf>
    <xf numFmtId="0" fontId="7" fillId="0" borderId="1" pivotButton="0" quotePrefix="0" xfId="0"/>
    <xf numFmtId="0" fontId="9" fillId="0" borderId="0" pivotButton="0" quotePrefix="0" xfId="0"/>
    <xf numFmtId="165" fontId="9" fillId="4" borderId="1" pivotButton="0" quotePrefix="0" xfId="0"/>
    <xf numFmtId="165" fontId="9" fillId="0" borderId="1" pivotButton="0" quotePrefix="0" xfId="0"/>
    <xf numFmtId="0" fontId="7" fillId="0" borderId="0" applyAlignment="1" pivotButton="0" quotePrefix="0" xfId="0">
      <alignment vertical="top" wrapText="1"/>
    </xf>
    <xf numFmtId="0" fontId="9" fillId="0" borderId="1" pivotButton="0" quotePrefix="0" xfId="0"/>
    <xf numFmtId="0" fontId="7" fillId="0" borderId="1" applyAlignment="1" pivotButton="0" quotePrefix="0" xfId="0">
      <alignment vertical="top" wrapText="1"/>
    </xf>
    <xf numFmtId="166" fontId="6" fillId="2" borderId="1" pivotButton="0" quotePrefix="0" xfId="0"/>
    <xf numFmtId="167" fontId="4" fillId="0" borderId="1" pivotButton="0" quotePrefix="0" xfId="0"/>
    <xf numFmtId="167" fontId="9" fillId="0" borderId="1" pivotButton="0" quotePrefix="0" xfId="0"/>
    <xf numFmtId="167" fontId="9" fillId="4" borderId="1" pivotButton="0" quotePrefix="0" xfId="0"/>
    <xf numFmtId="165" fontId="10" fillId="0" borderId="1" pivotButton="0" quotePrefix="0" xfId="0"/>
    <xf numFmtId="166" fontId="9" fillId="4" borderId="1" pivotButton="0" quotePrefix="0" xfId="0"/>
    <xf numFmtId="0" fontId="0" fillId="0" borderId="1" pivotButton="0" quotePrefix="0" xfId="0"/>
    <xf numFmtId="166" fontId="4" fillId="0" borderId="1" pivotButton="0" quotePrefix="0" xfId="0"/>
    <xf numFmtId="0" fontId="6" fillId="2" borderId="1" applyAlignment="1" pivotButton="0" quotePrefix="0" xfId="0">
      <alignment vertical="top" wrapText="1"/>
    </xf>
    <xf numFmtId="0" fontId="0" fillId="0" borderId="4" pivotButton="0" quotePrefix="0" xfId="0"/>
    <xf numFmtId="0" fontId="0" fillId="0" borderId="5" pivotButton="0" quotePrefix="0" xfId="0"/>
    <xf numFmtId="168" fontId="4" fillId="0" borderId="1" pivotButton="0" quotePrefix="0" xfId="0"/>
    <xf numFmtId="168" fontId="9" fillId="4" borderId="1" pivotButton="0" quotePrefix="0" xfId="0"/>
    <xf numFmtId="167" fontId="6" fillId="2" borderId="1" pivotButton="0" quotePrefix="0" xfId="0"/>
    <xf numFmtId="0" fontId="10" fillId="0" borderId="0" pivotButton="0" quotePrefix="0" xfId="0"/>
    <xf numFmtId="167" fontId="10" fillId="0" borderId="1" pivotButton="0" quotePrefix="0" xfId="0"/>
    <xf numFmtId="0" fontId="11" fillId="0" borderId="1" pivotButton="0" quotePrefix="0" xfId="0"/>
    <xf numFmtId="168" fontId="6" fillId="2" borderId="1" pivotButton="0" quotePrefix="0" xfId="0"/>
    <xf numFmtId="0" fontId="4" fillId="0" borderId="1" applyAlignment="1" pivotButton="0" quotePrefix="0" xfId="0">
      <alignment vertical="top" wrapText="1"/>
    </xf>
    <xf numFmtId="0" fontId="9" fillId="4" borderId="1" pivotButton="0" quotePrefix="0" xfId="0"/>
    <xf numFmtId="0" fontId="6" fillId="2" borderId="1" applyProtection="1" pivotButton="0" quotePrefix="0" xfId="0">
      <protection locked="0" hidden="0"/>
    </xf>
    <xf numFmtId="164" fontId="6" fillId="2" borderId="1" applyProtection="1" pivotButton="0" quotePrefix="0" xfId="0">
      <protection locked="0" hidden="0"/>
    </xf>
    <xf numFmtId="165" fontId="6" fillId="2" borderId="1" applyProtection="1" pivotButton="0" quotePrefix="0" xfId="0">
      <protection locked="0" hidden="0"/>
    </xf>
    <xf numFmtId="165" fontId="4" fillId="0" borderId="1" pivotButton="0" quotePrefix="0" xfId="0"/>
    <xf numFmtId="165" fontId="9" fillId="4" borderId="1" pivotButton="0" quotePrefix="0" xfId="0"/>
    <xf numFmtId="165" fontId="9" fillId="0" borderId="1" pivotButton="0" quotePrefix="0" xfId="0"/>
    <xf numFmtId="166" fontId="6" fillId="2" borderId="1" applyProtection="1" pivotButton="0" quotePrefix="0" xfId="0">
      <protection locked="0" hidden="0"/>
    </xf>
    <xf numFmtId="167" fontId="4" fillId="0" borderId="1" pivotButton="0" quotePrefix="0" xfId="0"/>
    <xf numFmtId="167" fontId="9" fillId="0" borderId="1" pivotButton="0" quotePrefix="0" xfId="0"/>
    <xf numFmtId="167" fontId="9" fillId="4" borderId="1" pivotButton="0" quotePrefix="0" xfId="0"/>
    <xf numFmtId="165" fontId="10" fillId="0" borderId="1" pivotButton="0" quotePrefix="0" xfId="0"/>
    <xf numFmtId="166" fontId="9" fillId="4" borderId="1" pivotButton="0" quotePrefix="0" xfId="0"/>
    <xf numFmtId="166" fontId="4" fillId="0" borderId="1" pivotButton="0" quotePrefix="0" xfId="0"/>
    <xf numFmtId="0" fontId="6" fillId="2" borderId="1" applyAlignment="1" applyProtection="1" pivotButton="0" quotePrefix="0" xfId="0">
      <alignment vertical="top" wrapText="1"/>
      <protection locked="0" hidden="0"/>
    </xf>
    <xf numFmtId="168" fontId="4" fillId="0" borderId="1" pivotButton="0" quotePrefix="0" xfId="0"/>
    <xf numFmtId="168" fontId="9" fillId="4" borderId="1" pivotButton="0" quotePrefix="0" xfId="0"/>
    <xf numFmtId="167" fontId="6" fillId="2" borderId="1" applyProtection="1" pivotButton="0" quotePrefix="0" xfId="0">
      <protection locked="0" hidden="0"/>
    </xf>
    <xf numFmtId="167" fontId="10" fillId="0" borderId="1" pivotButton="0" quotePrefix="0" xfId="0"/>
    <xf numFmtId="168" fontId="6" fillId="2" borderId="1" applyProtection="1" pivotButton="0" quotePrefix="0" xfId="0">
      <protection locked="0" hidden="0"/>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styles" Target="styles.xml" Id="rId20"/><Relationship Type="http://schemas.openxmlformats.org/officeDocument/2006/relationships/theme" Target="theme/theme1.xml" Id="rId2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1"/>
  <sheetViews>
    <sheetView showGridLines="0" workbookViewId="0">
      <selection activeCell="A1" sqref="A1"/>
    </sheetView>
  </sheetViews>
  <sheetFormatPr baseColWidth="8" defaultRowHeight="15"/>
  <cols>
    <col width="3" customWidth="1" min="1" max="1"/>
    <col width="30" customWidth="1" min="2" max="2"/>
    <col width="60" customWidth="1" min="3" max="3"/>
    <col width="18" customWidth="1" min="4" max="4"/>
  </cols>
  <sheetData>
    <row r="1"/>
    <row r="2">
      <c r="B2" s="1" t="inlineStr">
        <is>
          <t>CalcGuru</t>
        </is>
      </c>
      <c r="C2" s="2" t="inlineStr">
        <is>
          <t>calcguru.in</t>
        </is>
      </c>
    </row>
    <row r="3"/>
    <row r="4">
      <c r="B4" s="3" t="inlineStr">
        <is>
          <t>Schedule III Financial Statements - Companies (Division I) - FY 2025-26 template</t>
        </is>
      </c>
    </row>
    <row r="5">
      <c r="B5" s="4" t="inlineStr">
        <is>
          <t>Balance Sheet, Statement of Profit and Loss, notes with ageing schedules, borrowings split, ratios note, EPS and regulatory disclosures - as per Schedule III (Division I) to the Companies Act, 2013 (as amended w.e.f. 1 April 2022).</t>
        </is>
      </c>
    </row>
    <row r="6"/>
    <row r="7">
      <c r="B7" s="5" t="inlineStr">
        <is>
          <t>How to use</t>
        </is>
      </c>
    </row>
    <row r="8">
      <c r="B8" s="4" t="inlineStr">
        <is>
          <t>1. Fill the Setup sheet (entity, dates, rounding, share capital).</t>
        </is>
      </c>
    </row>
    <row r="9">
      <c r="B9" s="4" t="inlineStr">
        <is>
          <t>2. Paste your trial balance in the TB sheet and pick a Map code for every row - the Map Guide sheet explains every code with typical ledgers.</t>
        </is>
      </c>
    </row>
    <row r="10">
      <c r="B10" s="4" t="inlineStr">
        <is>
          <t>3. Fill the detail grids: Borrowings loans, Receivables/Payables ageing, PPE movement, EPS events, note details.</t>
        </is>
      </c>
    </row>
    <row r="11">
      <c r="B11" s="4" t="inlineStr">
        <is>
          <t>4. Balance Sheet, P&amp;L, notes, ratios and cash flow build themselves. Answer the Regulatory Disclosures questionnaire.</t>
        </is>
      </c>
    </row>
    <row r="12">
      <c r="B12" s="4" t="inlineStr">
        <is>
          <t>5. Open the Checks sheet - every row must say PASS before you print.</t>
        </is>
      </c>
    </row>
    <row r="13">
      <c r="B13" s="4" t="inlineStr">
        <is>
          <t>6. Yellow cells are inputs. Everything else is locked and formula-driven.</t>
        </is>
      </c>
    </row>
    <row r="14"/>
    <row r="15">
      <c r="B15" s="5" t="inlineStr">
        <is>
          <t>Legend</t>
        </is>
      </c>
    </row>
    <row r="16">
      <c r="B16" s="40" t="inlineStr">
        <is>
          <t>Yellow cell = your input</t>
        </is>
      </c>
    </row>
    <row r="17">
      <c r="B17" s="7" t="inlineStr">
        <is>
          <t>Black = formula (locked)   Green = pulled from another sheet</t>
        </is>
      </c>
    </row>
    <row r="18"/>
    <row r="19">
      <c r="B19" s="7" t="inlineStr">
        <is>
          <t>Free forever. Updates for next FY are mailed to subscribers - calcguru.in/schedule-iii-format-of-financial-statements/</t>
        </is>
      </c>
    </row>
    <row r="20"/>
    <row r="21">
      <c r="B21" s="7" t="inlineStr">
        <is>
          <t>This template is a working tool, not professional advice. Verify every figure and disclosure against the audited books before adoption.</t>
        </is>
      </c>
    </row>
  </sheetData>
  <sheetProtection selectLockedCells="0" selectUnlockedCells="0" sheet="1" objects="0" insertRows="0" insertHyperlinks="1" autoFilter="0" scenarios="0" formatColumns="0" deleteColumns="1" insertColumns="1" pivotTables="1" deleteRows="0" formatCells="1" formatRows="0" sort="0" password="BBBC"/>
  <pageMargins left="0.75" right="0.75" top="1" bottom="1" header="0.5" footer="0.5"/>
</worksheet>
</file>

<file path=xl/worksheets/sheet2.xml><?xml version="1.0" encoding="utf-8"?>
<worksheet xmlns="http://schemas.openxmlformats.org/spreadsheetml/2006/main">
  <sheetPr>
    <tabColor rgb="00F97316"/>
    <outlinePr summaryBelow="1" summaryRight="1"/>
    <pageSetUpPr/>
  </sheetPr>
  <dimension ref="A1:D43"/>
  <sheetViews>
    <sheetView showGridLines="0" workbookViewId="0">
      <selection activeCell="A1" sqref="A1"/>
    </sheetView>
  </sheetViews>
  <sheetFormatPr baseColWidth="8" defaultRowHeight="15"/>
  <cols>
    <col width="3" customWidth="1" min="1" max="1"/>
    <col width="42" customWidth="1" min="2" max="2"/>
    <col width="28" customWidth="1" min="3" max="3"/>
    <col width="60" customWidth="1" min="4" max="4"/>
  </cols>
  <sheetData>
    <row r="1"/>
    <row r="2">
      <c r="B2" s="3" t="inlineStr">
        <is>
          <t>Setup</t>
        </is>
      </c>
    </row>
    <row r="3"/>
    <row r="4">
      <c r="B4" s="5" t="inlineStr">
        <is>
          <t>Entity details</t>
        </is>
      </c>
    </row>
    <row r="5">
      <c r="B5" s="4" t="inlineStr">
        <is>
          <t>Entity name</t>
        </is>
      </c>
      <c r="C5" s="40" t="inlineStr">
        <is>
          <t>ABC Private Limited</t>
        </is>
      </c>
    </row>
    <row r="6">
      <c r="B6" s="4" t="inlineStr">
        <is>
          <t>CIN</t>
        </is>
      </c>
      <c r="C6" s="40" t="inlineStr">
        <is>
          <t>U12345TG2020PTC123456</t>
        </is>
      </c>
    </row>
    <row r="7">
      <c r="B7" s="4" t="inlineStr">
        <is>
          <t>Registered office (one line)</t>
        </is>
      </c>
      <c r="C7" s="40" t="inlineStr">
        <is>
          <t>Hyderabad, Telangana</t>
        </is>
      </c>
    </row>
    <row r="8">
      <c r="B8" s="4" t="inlineStr">
        <is>
          <t>Current financial year label</t>
        </is>
      </c>
      <c r="C8" s="40" t="inlineStr">
        <is>
          <t>2025-26</t>
        </is>
      </c>
    </row>
    <row r="9">
      <c r="B9" s="4" t="inlineStr">
        <is>
          <t>Balance sheet date</t>
        </is>
      </c>
      <c r="C9" s="41" t="n">
        <v>46112</v>
      </c>
      <c r="D9" s="7" t="inlineStr">
        <is>
          <t>dd-mm-yyyy</t>
        </is>
      </c>
    </row>
    <row r="10">
      <c r="B10" s="4" t="inlineStr">
        <is>
          <t>Previous year label</t>
        </is>
      </c>
      <c r="C10" s="40" t="inlineStr">
        <is>
          <t>2024-25</t>
        </is>
      </c>
    </row>
    <row r="11">
      <c r="B11" s="4" t="inlineStr">
        <is>
          <t>Previous balance sheet date</t>
        </is>
      </c>
      <c r="C11" s="41" t="n">
        <v>45747</v>
      </c>
    </row>
    <row r="12"/>
    <row r="13">
      <c r="B13" s="5" t="inlineStr">
        <is>
          <t>Presentation</t>
        </is>
      </c>
    </row>
    <row r="14">
      <c r="B14" s="4" t="inlineStr">
        <is>
          <t>Rounding (Sch III mandatory)</t>
        </is>
      </c>
      <c r="C14" s="40" t="inlineStr">
        <is>
          <t>Lakhs</t>
        </is>
      </c>
      <c r="D14" s="7" t="inlineStr">
        <is>
          <t>Total income &lt; Rs 100 cr: hundreds/thousands/lakhs. Rs 100 cr or more: lakhs/millions/crores.</t>
        </is>
      </c>
    </row>
    <row r="15">
      <c r="B15" s="4" t="inlineStr">
        <is>
          <t>Amounts are entered in</t>
        </is>
      </c>
      <c r="C15" s="7" t="inlineStr">
        <is>
          <t>Rupees (always paste raw rupees)</t>
        </is>
      </c>
    </row>
    <row r="16">
      <c r="B16" s="4" t="inlineStr">
        <is>
          <t>Company is an SMC (no diluted EPS disclosure)</t>
        </is>
      </c>
      <c r="C16" s="40" t="inlineStr">
        <is>
          <t>No</t>
        </is>
      </c>
    </row>
    <row r="17">
      <c r="B17" s="4" t="inlineStr">
        <is>
          <t>Cash flow statement required</t>
        </is>
      </c>
      <c r="C17" s="40" t="inlineStr">
        <is>
          <t>Yes</t>
        </is>
      </c>
      <c r="D17" s="7" t="inlineStr">
        <is>
          <t>OPC, small and dormant companies are exempt from the cash flow statement.</t>
        </is>
      </c>
    </row>
    <row r="18"/>
    <row r="19">
      <c r="B19" s="5" t="inlineStr">
        <is>
          <t>Share capital</t>
        </is>
      </c>
    </row>
    <row r="20">
      <c r="B20" s="4" t="inlineStr">
        <is>
          <t>Face value per equity share (Rs)</t>
        </is>
      </c>
      <c r="C20" s="42" t="n">
        <v>10</v>
      </c>
    </row>
    <row r="21">
      <c r="B21" s="4" t="inlineStr">
        <is>
          <t>Authorised equity shares (number)</t>
        </is>
      </c>
      <c r="C21" s="42" t="n">
        <v>1000000</v>
      </c>
    </row>
    <row r="22">
      <c r="B22" s="4" t="inlineStr">
        <is>
          <t>Issued and paid-up shares - current year end</t>
        </is>
      </c>
      <c r="C22" s="42" t="n">
        <v>500000</v>
      </c>
    </row>
    <row r="23">
      <c r="B23" s="4" t="inlineStr">
        <is>
          <t>Issued and paid-up shares - previous year end</t>
        </is>
      </c>
      <c r="C23" s="42" t="n">
        <v>500000</v>
      </c>
    </row>
    <row r="24">
      <c r="B24" s="4" t="inlineStr">
        <is>
          <t>Preference dividend incl tax, if any (Rs)</t>
        </is>
      </c>
      <c r="C24" s="42" t="n">
        <v>0</v>
      </c>
    </row>
    <row r="25"/>
    <row r="26">
      <c r="B26" s="4" t="inlineStr">
        <is>
          <t>Rounding divisor (auto)</t>
        </is>
      </c>
      <c r="C26" s="43">
        <f>IF(C14="Actual",1,IF(C14="Hundreds",100,IF(C14="Thousands",1000,IF(C14="Lakhs",100000,IF(C14="Millions",1000000,10000000)))))</f>
        <v/>
      </c>
    </row>
    <row r="27">
      <c r="B27" s="4" t="inlineStr">
        <is>
          <t>Units caption (auto)</t>
        </is>
      </c>
      <c r="C27" s="11">
        <f>"Amounts in Rs "&amp;IF(C14="Actual","",C14)</f>
        <v/>
      </c>
    </row>
    <row r="28"/>
    <row r="29">
      <c r="B29" s="5" t="inlineStr">
        <is>
          <t>Signatories (printed under each statement)</t>
        </is>
      </c>
    </row>
    <row r="30">
      <c r="B30" s="4" t="inlineStr">
        <is>
          <t>Audit firm name</t>
        </is>
      </c>
      <c r="C30" s="40" t="inlineStr">
        <is>
          <t>M/s XYZ &amp; Associates</t>
        </is>
      </c>
    </row>
    <row r="31">
      <c r="B31" s="4" t="inlineStr">
        <is>
          <t>Firm registration number</t>
        </is>
      </c>
      <c r="C31" s="40" t="inlineStr">
        <is>
          <t>012345S</t>
        </is>
      </c>
    </row>
    <row r="32">
      <c r="B32" s="4" t="inlineStr">
        <is>
          <t>Partner name</t>
        </is>
      </c>
      <c r="C32" s="40" t="inlineStr">
        <is>
          <t>CA Partner Name</t>
        </is>
      </c>
    </row>
    <row r="33">
      <c r="B33" s="4" t="inlineStr">
        <is>
          <t>Partner membership number</t>
        </is>
      </c>
      <c r="C33" s="40" t="inlineStr">
        <is>
          <t>123456</t>
        </is>
      </c>
    </row>
    <row r="34">
      <c r="B34" s="4" t="inlineStr">
        <is>
          <t>UDIN</t>
        </is>
      </c>
      <c r="C34" s="40" t="inlineStr"/>
    </row>
    <row r="35">
      <c r="B35" s="4" t="inlineStr">
        <is>
          <t>Director 1 name</t>
        </is>
      </c>
      <c r="C35" s="40" t="inlineStr">
        <is>
          <t>Director One</t>
        </is>
      </c>
    </row>
    <row r="36">
      <c r="B36" s="4" t="inlineStr">
        <is>
          <t>Director 1 DIN</t>
        </is>
      </c>
      <c r="C36" s="40" t="inlineStr">
        <is>
          <t>01234567</t>
        </is>
      </c>
    </row>
    <row r="37">
      <c r="B37" s="4" t="inlineStr">
        <is>
          <t>Director 2 name</t>
        </is>
      </c>
      <c r="C37" s="40" t="inlineStr">
        <is>
          <t>Director Two</t>
        </is>
      </c>
    </row>
    <row r="38">
      <c r="B38" s="4" t="inlineStr">
        <is>
          <t>Director 2 DIN</t>
        </is>
      </c>
      <c r="C38" s="40" t="inlineStr">
        <is>
          <t>07654321</t>
        </is>
      </c>
    </row>
    <row r="39">
      <c r="B39" s="4" t="inlineStr">
        <is>
          <t>Place</t>
        </is>
      </c>
      <c r="C39" s="40" t="inlineStr">
        <is>
          <t>Hyderabad</t>
        </is>
      </c>
    </row>
    <row r="40">
      <c r="B40" s="4" t="inlineStr">
        <is>
          <t>Date of signing</t>
        </is>
      </c>
      <c r="C40" s="40" t="inlineStr"/>
    </row>
    <row r="41">
      <c r="B41" s="4" t="inlineStr">
        <is>
          <t>Auditor designation</t>
        </is>
      </c>
      <c r="C41" s="40" t="inlineStr">
        <is>
          <t>Proprietor</t>
        </is>
      </c>
    </row>
    <row r="42">
      <c r="B42" s="4" t="inlineStr">
        <is>
          <t>Director 1 designation</t>
        </is>
      </c>
      <c r="C42" s="40" t="inlineStr">
        <is>
          <t>Director</t>
        </is>
      </c>
    </row>
    <row r="43">
      <c r="B43" s="4" t="inlineStr">
        <is>
          <t>Director 2 designation</t>
        </is>
      </c>
      <c r="C43" s="40" t="inlineStr">
        <is>
          <t>Director</t>
        </is>
      </c>
    </row>
  </sheetData>
  <sheetProtection selectLockedCells="0" selectUnlockedCells="0" sheet="1" objects="0" insertRows="0" insertHyperlinks="1" autoFilter="0" scenarios="0" formatColumns="0" deleteColumns="1" insertColumns="1" pivotTables="1" deleteRows="0" formatCells="1" formatRows="0" sort="0" password="BBBC"/>
  <dataValidations count="4">
    <dataValidation sqref="C14" showDropDown="0" showInputMessage="0" showErrorMessage="0" allowBlank="0" type="list">
      <formula1>"Actual,Hundreds,Thousands,Lakhs,Millions,Crores"</formula1>
    </dataValidation>
    <dataValidation sqref="C16 C17" showDropDown="0" showInputMessage="0" showErrorMessage="0" allowBlank="0" type="list">
      <formula1>"Yes,No"</formula1>
    </dataValidation>
    <dataValidation sqref="C41" showDropDown="0" showInputMessage="0" showErrorMessage="0" allowBlank="0" type="list">
      <formula1>"Proprietor,Partner"</formula1>
    </dataValidation>
    <dataValidation sqref="C42 C43" showDropDown="0" showInputMessage="0" showErrorMessage="0" allowBlank="0" type="list">
      <formula1>"Director,Managing Director,Whole-time Director,Director and CFO"</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showGridLines="0" workbookViewId="0">
      <selection activeCell="A1" sqref="A1"/>
    </sheetView>
  </sheetViews>
  <sheetFormatPr baseColWidth="8" defaultRowHeight="15"/>
  <sheetData>
    <row r="1">
      <c r="A1" t="inlineStr">
        <is>
          <t>Code</t>
        </is>
      </c>
      <c r="B1" t="inlineStr">
        <is>
          <t>Maps to</t>
        </is>
      </c>
      <c r="C1" t="inlineStr">
        <is>
          <t>Class</t>
        </is>
      </c>
    </row>
    <row r="2">
      <c r="A2" t="inlineStr">
        <is>
          <t>SC</t>
        </is>
      </c>
      <c r="B2" t="inlineStr">
        <is>
          <t>Share capital</t>
        </is>
      </c>
      <c r="C2" t="inlineStr">
        <is>
          <t>L</t>
        </is>
      </c>
    </row>
    <row r="3">
      <c r="A3" t="inlineStr">
        <is>
          <t>RS</t>
        </is>
      </c>
      <c r="B3" t="inlineStr">
        <is>
          <t>Reserves and surplus (opening)</t>
        </is>
      </c>
      <c r="C3" t="inlineStr">
        <is>
          <t>L</t>
        </is>
      </c>
    </row>
    <row r="4">
      <c r="A4" t="inlineStr">
        <is>
          <t>LTB</t>
        </is>
      </c>
      <c r="B4" t="inlineStr">
        <is>
          <t>Long-term borrowings (full loan balances)</t>
        </is>
      </c>
      <c r="C4" t="inlineStr">
        <is>
          <t>L</t>
        </is>
      </c>
    </row>
    <row r="5">
      <c r="A5" t="inlineStr">
        <is>
          <t>DTL</t>
        </is>
      </c>
      <c r="B5" t="inlineStr">
        <is>
          <t>Deferred tax liability</t>
        </is>
      </c>
      <c r="C5" t="inlineStr">
        <is>
          <t>L</t>
        </is>
      </c>
    </row>
    <row r="6">
      <c r="A6" t="inlineStr">
        <is>
          <t>OLTL</t>
        </is>
      </c>
      <c r="B6" t="inlineStr">
        <is>
          <t>Other long-term liabilities</t>
        </is>
      </c>
      <c r="C6" t="inlineStr">
        <is>
          <t>L</t>
        </is>
      </c>
    </row>
    <row r="7">
      <c r="A7" t="inlineStr">
        <is>
          <t>LTPROV</t>
        </is>
      </c>
      <c r="B7" t="inlineStr">
        <is>
          <t>Long-term provisions</t>
        </is>
      </c>
      <c r="C7" t="inlineStr">
        <is>
          <t>L</t>
        </is>
      </c>
    </row>
    <row r="8">
      <c r="A8" t="inlineStr">
        <is>
          <t>STB</t>
        </is>
      </c>
      <c r="B8" t="inlineStr">
        <is>
          <t>Short-term borrowings (CC/OD/demand)</t>
        </is>
      </c>
      <c r="C8" t="inlineStr">
        <is>
          <t>L</t>
        </is>
      </c>
    </row>
    <row r="9">
      <c r="A9" t="inlineStr">
        <is>
          <t>TPMS</t>
        </is>
      </c>
      <c r="B9" t="inlineStr">
        <is>
          <t>Trade payables - MSME</t>
        </is>
      </c>
      <c r="C9" t="inlineStr">
        <is>
          <t>L</t>
        </is>
      </c>
    </row>
    <row r="10">
      <c r="A10" t="inlineStr">
        <is>
          <t>TPOTH</t>
        </is>
      </c>
      <c r="B10" t="inlineStr">
        <is>
          <t>Trade payables - others</t>
        </is>
      </c>
      <c r="C10" t="inlineStr">
        <is>
          <t>L</t>
        </is>
      </c>
    </row>
    <row r="11">
      <c r="A11" t="inlineStr">
        <is>
          <t>OCL</t>
        </is>
      </c>
      <c r="B11" t="inlineStr">
        <is>
          <t>Other current liabilities</t>
        </is>
      </c>
      <c r="C11" t="inlineStr">
        <is>
          <t>L</t>
        </is>
      </c>
    </row>
    <row r="12">
      <c r="A12" t="inlineStr">
        <is>
          <t>STPROV</t>
        </is>
      </c>
      <c r="B12" t="inlineStr">
        <is>
          <t>Short-term provisions</t>
        </is>
      </c>
      <c r="C12" t="inlineStr">
        <is>
          <t>L</t>
        </is>
      </c>
    </row>
    <row r="13">
      <c r="A13" t="inlineStr">
        <is>
          <t>PPE</t>
        </is>
      </c>
      <c r="B13" t="inlineStr">
        <is>
          <t>Property, plant and equipment (net)</t>
        </is>
      </c>
      <c r="C13" t="inlineStr">
        <is>
          <t>A</t>
        </is>
      </c>
    </row>
    <row r="14">
      <c r="A14" t="inlineStr">
        <is>
          <t>INTAN</t>
        </is>
      </c>
      <c r="B14" t="inlineStr">
        <is>
          <t>Intangible assets (net)</t>
        </is>
      </c>
      <c r="C14" t="inlineStr">
        <is>
          <t>A</t>
        </is>
      </c>
    </row>
    <row r="15">
      <c r="A15" t="inlineStr">
        <is>
          <t>CWIP</t>
        </is>
      </c>
      <c r="B15" t="inlineStr">
        <is>
          <t>Capital work-in-progress</t>
        </is>
      </c>
      <c r="C15" t="inlineStr">
        <is>
          <t>A</t>
        </is>
      </c>
    </row>
    <row r="16">
      <c r="A16" t="inlineStr">
        <is>
          <t>IUD</t>
        </is>
      </c>
      <c r="B16" t="inlineStr">
        <is>
          <t>Intangible assets under development</t>
        </is>
      </c>
      <c r="C16" t="inlineStr">
        <is>
          <t>A</t>
        </is>
      </c>
    </row>
    <row r="17">
      <c r="A17" t="inlineStr">
        <is>
          <t>NCINV</t>
        </is>
      </c>
      <c r="B17" t="inlineStr">
        <is>
          <t>Non-current investments</t>
        </is>
      </c>
      <c r="C17" t="inlineStr">
        <is>
          <t>A</t>
        </is>
      </c>
    </row>
    <row r="18">
      <c r="A18" t="inlineStr">
        <is>
          <t>DTA</t>
        </is>
      </c>
      <c r="B18" t="inlineStr">
        <is>
          <t>Deferred tax asset</t>
        </is>
      </c>
      <c r="C18" t="inlineStr">
        <is>
          <t>A</t>
        </is>
      </c>
    </row>
    <row r="19">
      <c r="A19" t="inlineStr">
        <is>
          <t>LTLA</t>
        </is>
      </c>
      <c r="B19" t="inlineStr">
        <is>
          <t>Long-term loans and advances</t>
        </is>
      </c>
      <c r="C19" t="inlineStr">
        <is>
          <t>A</t>
        </is>
      </c>
    </row>
    <row r="20">
      <c r="A20" t="inlineStr">
        <is>
          <t>ONCA</t>
        </is>
      </c>
      <c r="B20" t="inlineStr">
        <is>
          <t>Other non-current assets</t>
        </is>
      </c>
      <c r="C20" t="inlineStr">
        <is>
          <t>A</t>
        </is>
      </c>
    </row>
    <row r="21">
      <c r="A21" t="inlineStr">
        <is>
          <t>CINV</t>
        </is>
      </c>
      <c r="B21" t="inlineStr">
        <is>
          <t>Current investments</t>
        </is>
      </c>
      <c r="C21" t="inlineStr">
        <is>
          <t>A</t>
        </is>
      </c>
    </row>
    <row r="22">
      <c r="A22" t="inlineStr">
        <is>
          <t>INVTY</t>
        </is>
      </c>
      <c r="B22" t="inlineStr">
        <is>
          <t>Inventories</t>
        </is>
      </c>
      <c r="C22" t="inlineStr">
        <is>
          <t>A</t>
        </is>
      </c>
    </row>
    <row r="23">
      <c r="A23" t="inlineStr">
        <is>
          <t>TR</t>
        </is>
      </c>
      <c r="B23" t="inlineStr">
        <is>
          <t>Trade receivables</t>
        </is>
      </c>
      <c r="C23" t="inlineStr">
        <is>
          <t>A</t>
        </is>
      </c>
    </row>
    <row r="24">
      <c r="A24" t="inlineStr">
        <is>
          <t>CASH</t>
        </is>
      </c>
      <c r="B24" t="inlineStr">
        <is>
          <t>Cash and cash equivalents</t>
        </is>
      </c>
      <c r="C24" t="inlineStr">
        <is>
          <t>A</t>
        </is>
      </c>
    </row>
    <row r="25">
      <c r="A25" t="inlineStr">
        <is>
          <t>STLA</t>
        </is>
      </c>
      <c r="B25" t="inlineStr">
        <is>
          <t>Short-term loans and advances</t>
        </is>
      </c>
      <c r="C25" t="inlineStr">
        <is>
          <t>A</t>
        </is>
      </c>
    </row>
    <row r="26">
      <c r="A26" t="inlineStr">
        <is>
          <t>OCA</t>
        </is>
      </c>
      <c r="B26" t="inlineStr">
        <is>
          <t>Other current assets</t>
        </is>
      </c>
      <c r="C26" t="inlineStr">
        <is>
          <t>A</t>
        </is>
      </c>
    </row>
    <row r="27">
      <c r="A27" t="inlineStr">
        <is>
          <t>REV</t>
        </is>
      </c>
      <c r="B27" t="inlineStr">
        <is>
          <t>Revenue from operations</t>
        </is>
      </c>
      <c r="C27" t="inlineStr">
        <is>
          <t>I</t>
        </is>
      </c>
    </row>
    <row r="28">
      <c r="A28" t="inlineStr">
        <is>
          <t>OTHINC</t>
        </is>
      </c>
      <c r="B28" t="inlineStr">
        <is>
          <t>Other income</t>
        </is>
      </c>
      <c r="C28" t="inlineStr">
        <is>
          <t>I</t>
        </is>
      </c>
    </row>
    <row r="29">
      <c r="A29" t="inlineStr">
        <is>
          <t>MATCONS</t>
        </is>
      </c>
      <c r="B29" t="inlineStr">
        <is>
          <t>Cost of materials consumed</t>
        </is>
      </c>
      <c r="C29" t="inlineStr">
        <is>
          <t>E</t>
        </is>
      </c>
    </row>
    <row r="30">
      <c r="A30" t="inlineStr">
        <is>
          <t>PURST</t>
        </is>
      </c>
      <c r="B30" t="inlineStr">
        <is>
          <t>Purchases of stock-in-trade</t>
        </is>
      </c>
      <c r="C30" t="inlineStr">
        <is>
          <t>E</t>
        </is>
      </c>
    </row>
    <row r="31">
      <c r="A31" t="inlineStr">
        <is>
          <t>CHGINV</t>
        </is>
      </c>
      <c r="B31" t="inlineStr">
        <is>
          <t>Changes in inventories of FG/WIP/stock-in-trade</t>
        </is>
      </c>
      <c r="C31" t="inlineStr">
        <is>
          <t>E</t>
        </is>
      </c>
    </row>
    <row r="32">
      <c r="A32" t="inlineStr">
        <is>
          <t>EMPB</t>
        </is>
      </c>
      <c r="B32" t="inlineStr">
        <is>
          <t>Employee benefits expense</t>
        </is>
      </c>
      <c r="C32" t="inlineStr">
        <is>
          <t>E</t>
        </is>
      </c>
    </row>
    <row r="33">
      <c r="A33" t="inlineStr">
        <is>
          <t>FINC</t>
        </is>
      </c>
      <c r="B33" t="inlineStr">
        <is>
          <t>Finance costs</t>
        </is>
      </c>
      <c r="C33" t="inlineStr">
        <is>
          <t>E</t>
        </is>
      </c>
    </row>
    <row r="34">
      <c r="A34" t="inlineStr">
        <is>
          <t>DEPAM</t>
        </is>
      </c>
      <c r="B34" t="inlineStr">
        <is>
          <t>Depreciation and amortisation</t>
        </is>
      </c>
      <c r="C34" t="inlineStr">
        <is>
          <t>E</t>
        </is>
      </c>
    </row>
    <row r="35">
      <c r="A35" t="inlineStr">
        <is>
          <t>OTHEXP</t>
        </is>
      </c>
      <c r="B35" t="inlineStr">
        <is>
          <t>Other expenses</t>
        </is>
      </c>
      <c r="C35" t="inlineStr">
        <is>
          <t>E</t>
        </is>
      </c>
    </row>
    <row r="36">
      <c r="A36" t="inlineStr">
        <is>
          <t>EXCPI</t>
        </is>
      </c>
      <c r="B36" t="inlineStr">
        <is>
          <t>Exceptional items (expense +ve)</t>
        </is>
      </c>
      <c r="C36" t="inlineStr">
        <is>
          <t>E</t>
        </is>
      </c>
    </row>
    <row r="37">
      <c r="A37" t="inlineStr">
        <is>
          <t>TAXCUR</t>
        </is>
      </c>
      <c r="B37" t="inlineStr">
        <is>
          <t>Current tax</t>
        </is>
      </c>
      <c r="C37" t="inlineStr">
        <is>
          <t>E</t>
        </is>
      </c>
    </row>
    <row r="38">
      <c r="A38" t="inlineStr">
        <is>
          <t>TAXDEF</t>
        </is>
      </c>
      <c r="B38" t="inlineStr">
        <is>
          <t>Deferred tax (charge +ve / credit -ve)</t>
        </is>
      </c>
      <c r="C38" t="inlineStr">
        <is>
          <t>E</t>
        </is>
      </c>
    </row>
  </sheetData>
  <sheetProtection selectLockedCells="0" selectUnlockedCells="0" sheet="1" objects="0" insertRows="0" insertHyperlinks="1" autoFilter="0" scenarios="0" formatColumns="0" deleteColumns="1" insertColumns="1" pivotTables="1" deleteRows="0" formatCells="1" formatRows="0" sort="0" password="BBBC"/>
  <pageMargins left="0.75" right="0.75" top="1" bottom="1" header="0.5" footer="0.5"/>
</worksheet>
</file>

<file path=xl/worksheets/sheet4.xml><?xml version="1.0" encoding="utf-8"?>
<worksheet xmlns="http://schemas.openxmlformats.org/spreadsheetml/2006/main">
  <sheetPr>
    <tabColor rgb="001E3A8A"/>
    <outlinePr summaryBelow="1" summaryRight="1"/>
    <pageSetUpPr/>
  </sheetPr>
  <dimension ref="A1:H228"/>
  <sheetViews>
    <sheetView showGridLines="0" workbookViewId="0">
      <selection activeCell="A1" sqref="A1"/>
    </sheetView>
  </sheetViews>
  <sheetFormatPr baseColWidth="8" defaultRowHeight="15"/>
  <cols>
    <col width="42" customWidth="1" min="1" max="1"/>
    <col width="16" customWidth="1" min="2" max="2"/>
    <col width="16" customWidth="1" min="3" max="3"/>
    <col width="16" customWidth="1" min="4" max="4"/>
    <col width="16" customWidth="1" min="5" max="5"/>
    <col width="14" customWidth="1" min="6" max="6"/>
    <col width="40" customWidth="1" min="7" max="7"/>
    <col width="6" customWidth="1" min="8" max="8"/>
  </cols>
  <sheetData>
    <row r="1"/>
    <row r="2">
      <c r="A2" s="3" t="inlineStr">
        <is>
          <t>Trial Balance - paste and map</t>
        </is>
      </c>
    </row>
    <row r="3">
      <c r="A3" s="7" t="inlineStr">
        <is>
          <t>Paste account heads with CY and PY closing balances IN RUPEES, then pick a Map code for every row (dropdown). P&amp;L balances included (pre-closing TB). Reserves = OPENING reserves; the workbook adds the year profit itself.</t>
        </is>
      </c>
    </row>
    <row r="4">
      <c r="A4" s="5" t="inlineStr">
        <is>
          <t>New to the codes? Open the Map Guide sheet - every code with typical ledgers and where it lands.</t>
        </is>
      </c>
    </row>
    <row r="5">
      <c r="A5" s="12" t="inlineStr">
        <is>
          <t>Account head</t>
        </is>
      </c>
      <c r="B5" s="12" t="inlineStr">
        <is>
          <t>CY Debit</t>
        </is>
      </c>
      <c r="C5" s="12" t="inlineStr">
        <is>
          <t>CY Credit</t>
        </is>
      </c>
      <c r="D5" s="12" t="inlineStr">
        <is>
          <t>PY Debit</t>
        </is>
      </c>
      <c r="E5" s="12" t="inlineStr">
        <is>
          <t>PY Credit</t>
        </is>
      </c>
      <c r="F5" s="12" t="inlineStr">
        <is>
          <t>Map code</t>
        </is>
      </c>
      <c r="G5" s="12" t="inlineStr">
        <is>
          <t>Mapped to (auto)</t>
        </is>
      </c>
      <c r="H5" s="12" t="inlineStr">
        <is>
          <t>key</t>
        </is>
      </c>
    </row>
    <row r="6">
      <c r="A6" s="40" t="n"/>
      <c r="B6" s="42" t="n"/>
      <c r="C6" s="42" t="n"/>
      <c r="D6" s="42" t="n"/>
      <c r="E6" s="42" t="n"/>
      <c r="F6" s="40" t="n"/>
      <c r="G6" s="13">
        <f>IF(F6="","",IFERROR(INDEX(Map!$B$2:$B$38,MATCH(F6,Map!$A$2:$A$38,0)),"UNKNOWN CODE"))</f>
        <v/>
      </c>
      <c r="H6" s="13">
        <f>IF(F6="","",F6&amp;"#"&amp;COUNTIF($F$6:F6,F6))</f>
        <v/>
      </c>
    </row>
    <row r="7">
      <c r="A7" s="40" t="n"/>
      <c r="B7" s="42" t="n"/>
      <c r="C7" s="42" t="n"/>
      <c r="D7" s="42" t="n"/>
      <c r="E7" s="42" t="n"/>
      <c r="F7" s="40" t="n"/>
      <c r="G7" s="13">
        <f>IF(F7="","",IFERROR(INDEX(Map!$B$2:$B$38,MATCH(F7,Map!$A$2:$A$38,0)),"UNKNOWN CODE"))</f>
        <v/>
      </c>
      <c r="H7" s="13">
        <f>IF(F7="","",F7&amp;"#"&amp;COUNTIF($F$6:F7,F7))</f>
        <v/>
      </c>
    </row>
    <row r="8">
      <c r="A8" s="40" t="n"/>
      <c r="B8" s="42" t="n"/>
      <c r="C8" s="42" t="n"/>
      <c r="D8" s="42" t="n"/>
      <c r="E8" s="42" t="n"/>
      <c r="F8" s="40" t="n"/>
      <c r="G8" s="13">
        <f>IF(F8="","",IFERROR(INDEX(Map!$B$2:$B$38,MATCH(F8,Map!$A$2:$A$38,0)),"UNKNOWN CODE"))</f>
        <v/>
      </c>
      <c r="H8" s="13">
        <f>IF(F8="","",F8&amp;"#"&amp;COUNTIF($F$6:F8,F8))</f>
        <v/>
      </c>
    </row>
    <row r="9">
      <c r="A9" s="40" t="n"/>
      <c r="B9" s="42" t="n"/>
      <c r="C9" s="42" t="n"/>
      <c r="D9" s="42" t="n"/>
      <c r="E9" s="42" t="n"/>
      <c r="F9" s="40" t="n"/>
      <c r="G9" s="13">
        <f>IF(F9="","",IFERROR(INDEX(Map!$B$2:$B$38,MATCH(F9,Map!$A$2:$A$38,0)),"UNKNOWN CODE"))</f>
        <v/>
      </c>
      <c r="H9" s="13">
        <f>IF(F9="","",F9&amp;"#"&amp;COUNTIF($F$6:F9,F9))</f>
        <v/>
      </c>
    </row>
    <row r="10">
      <c r="A10" s="40" t="n"/>
      <c r="B10" s="42" t="n"/>
      <c r="C10" s="42" t="n"/>
      <c r="D10" s="42" t="n"/>
      <c r="E10" s="42" t="n"/>
      <c r="F10" s="40" t="n"/>
      <c r="G10" s="13">
        <f>IF(F10="","",IFERROR(INDEX(Map!$B$2:$B$38,MATCH(F10,Map!$A$2:$A$38,0)),"UNKNOWN CODE"))</f>
        <v/>
      </c>
      <c r="H10" s="13">
        <f>IF(F10="","",F10&amp;"#"&amp;COUNTIF($F$6:F10,F10))</f>
        <v/>
      </c>
    </row>
    <row r="11">
      <c r="A11" s="40" t="n"/>
      <c r="B11" s="42" t="n"/>
      <c r="C11" s="42" t="n"/>
      <c r="D11" s="42" t="n"/>
      <c r="E11" s="42" t="n"/>
      <c r="F11" s="40" t="n"/>
      <c r="G11" s="13">
        <f>IF(F11="","",IFERROR(INDEX(Map!$B$2:$B$38,MATCH(F11,Map!$A$2:$A$38,0)),"UNKNOWN CODE"))</f>
        <v/>
      </c>
      <c r="H11" s="13">
        <f>IF(F11="","",F11&amp;"#"&amp;COUNTIF($F$6:F11,F11))</f>
        <v/>
      </c>
    </row>
    <row r="12">
      <c r="A12" s="40" t="n"/>
      <c r="B12" s="42" t="n"/>
      <c r="C12" s="42" t="n"/>
      <c r="D12" s="42" t="n"/>
      <c r="E12" s="42" t="n"/>
      <c r="F12" s="40" t="n"/>
      <c r="G12" s="13">
        <f>IF(F12="","",IFERROR(INDEX(Map!$B$2:$B$38,MATCH(F12,Map!$A$2:$A$38,0)),"UNKNOWN CODE"))</f>
        <v/>
      </c>
      <c r="H12" s="13">
        <f>IF(F12="","",F12&amp;"#"&amp;COUNTIF($F$6:F12,F12))</f>
        <v/>
      </c>
    </row>
    <row r="13">
      <c r="A13" s="40" t="n"/>
      <c r="B13" s="42" t="n"/>
      <c r="C13" s="42" t="n"/>
      <c r="D13" s="42" t="n"/>
      <c r="E13" s="42" t="n"/>
      <c r="F13" s="40" t="n"/>
      <c r="G13" s="13">
        <f>IF(F13="","",IFERROR(INDEX(Map!$B$2:$B$38,MATCH(F13,Map!$A$2:$A$38,0)),"UNKNOWN CODE"))</f>
        <v/>
      </c>
      <c r="H13" s="13">
        <f>IF(F13="","",F13&amp;"#"&amp;COUNTIF($F$6:F13,F13))</f>
        <v/>
      </c>
    </row>
    <row r="14">
      <c r="A14" s="40" t="n"/>
      <c r="B14" s="42" t="n"/>
      <c r="C14" s="42" t="n"/>
      <c r="D14" s="42" t="n"/>
      <c r="E14" s="42" t="n"/>
      <c r="F14" s="40" t="n"/>
      <c r="G14" s="13">
        <f>IF(F14="","",IFERROR(INDEX(Map!$B$2:$B$38,MATCH(F14,Map!$A$2:$A$38,0)),"UNKNOWN CODE"))</f>
        <v/>
      </c>
      <c r="H14" s="13">
        <f>IF(F14="","",F14&amp;"#"&amp;COUNTIF($F$6:F14,F14))</f>
        <v/>
      </c>
    </row>
    <row r="15">
      <c r="A15" s="40" t="n"/>
      <c r="B15" s="42" t="n"/>
      <c r="C15" s="42" t="n"/>
      <c r="D15" s="42" t="n"/>
      <c r="E15" s="42" t="n"/>
      <c r="F15" s="40" t="n"/>
      <c r="G15" s="13">
        <f>IF(F15="","",IFERROR(INDEX(Map!$B$2:$B$38,MATCH(F15,Map!$A$2:$A$38,0)),"UNKNOWN CODE"))</f>
        <v/>
      </c>
      <c r="H15" s="13">
        <f>IF(F15="","",F15&amp;"#"&amp;COUNTIF($F$6:F15,F15))</f>
        <v/>
      </c>
    </row>
    <row r="16">
      <c r="A16" s="40" t="n"/>
      <c r="B16" s="42" t="n"/>
      <c r="C16" s="42" t="n"/>
      <c r="D16" s="42" t="n"/>
      <c r="E16" s="42" t="n"/>
      <c r="F16" s="40" t="n"/>
      <c r="G16" s="13">
        <f>IF(F16="","",IFERROR(INDEX(Map!$B$2:$B$38,MATCH(F16,Map!$A$2:$A$38,0)),"UNKNOWN CODE"))</f>
        <v/>
      </c>
      <c r="H16" s="13">
        <f>IF(F16="","",F16&amp;"#"&amp;COUNTIF($F$6:F16,F16))</f>
        <v/>
      </c>
    </row>
    <row r="17">
      <c r="A17" s="40" t="n"/>
      <c r="B17" s="42" t="n"/>
      <c r="C17" s="42" t="n"/>
      <c r="D17" s="42" t="n"/>
      <c r="E17" s="42" t="n"/>
      <c r="F17" s="40" t="n"/>
      <c r="G17" s="13">
        <f>IF(F17="","",IFERROR(INDEX(Map!$B$2:$B$38,MATCH(F17,Map!$A$2:$A$38,0)),"UNKNOWN CODE"))</f>
        <v/>
      </c>
      <c r="H17" s="13">
        <f>IF(F17="","",F17&amp;"#"&amp;COUNTIF($F$6:F17,F17))</f>
        <v/>
      </c>
    </row>
    <row r="18">
      <c r="A18" s="40" t="n"/>
      <c r="B18" s="42" t="n"/>
      <c r="C18" s="42" t="n"/>
      <c r="D18" s="42" t="n"/>
      <c r="E18" s="42" t="n"/>
      <c r="F18" s="40" t="n"/>
      <c r="G18" s="13">
        <f>IF(F18="","",IFERROR(INDEX(Map!$B$2:$B$38,MATCH(F18,Map!$A$2:$A$38,0)),"UNKNOWN CODE"))</f>
        <v/>
      </c>
      <c r="H18" s="13">
        <f>IF(F18="","",F18&amp;"#"&amp;COUNTIF($F$6:F18,F18))</f>
        <v/>
      </c>
    </row>
    <row r="19">
      <c r="A19" s="40" t="n"/>
      <c r="B19" s="42" t="n"/>
      <c r="C19" s="42" t="n"/>
      <c r="D19" s="42" t="n"/>
      <c r="E19" s="42" t="n"/>
      <c r="F19" s="40" t="n"/>
      <c r="G19" s="13">
        <f>IF(F19="","",IFERROR(INDEX(Map!$B$2:$B$38,MATCH(F19,Map!$A$2:$A$38,0)),"UNKNOWN CODE"))</f>
        <v/>
      </c>
      <c r="H19" s="13">
        <f>IF(F19="","",F19&amp;"#"&amp;COUNTIF($F$6:F19,F19))</f>
        <v/>
      </c>
    </row>
    <row r="20">
      <c r="A20" s="40" t="n"/>
      <c r="B20" s="42" t="n"/>
      <c r="C20" s="42" t="n"/>
      <c r="D20" s="42" t="n"/>
      <c r="E20" s="42" t="n"/>
      <c r="F20" s="40" t="n"/>
      <c r="G20" s="13">
        <f>IF(F20="","",IFERROR(INDEX(Map!$B$2:$B$38,MATCH(F20,Map!$A$2:$A$38,0)),"UNKNOWN CODE"))</f>
        <v/>
      </c>
      <c r="H20" s="13">
        <f>IF(F20="","",F20&amp;"#"&amp;COUNTIF($F$6:F20,F20))</f>
        <v/>
      </c>
    </row>
    <row r="21">
      <c r="A21" s="40" t="n"/>
      <c r="B21" s="42" t="n"/>
      <c r="C21" s="42" t="n"/>
      <c r="D21" s="42" t="n"/>
      <c r="E21" s="42" t="n"/>
      <c r="F21" s="40" t="n"/>
      <c r="G21" s="13">
        <f>IF(F21="","",IFERROR(INDEX(Map!$B$2:$B$38,MATCH(F21,Map!$A$2:$A$38,0)),"UNKNOWN CODE"))</f>
        <v/>
      </c>
      <c r="H21" s="13">
        <f>IF(F21="","",F21&amp;"#"&amp;COUNTIF($F$6:F21,F21))</f>
        <v/>
      </c>
    </row>
    <row r="22">
      <c r="A22" s="40" t="n"/>
      <c r="B22" s="42" t="n"/>
      <c r="C22" s="42" t="n"/>
      <c r="D22" s="42" t="n"/>
      <c r="E22" s="42" t="n"/>
      <c r="F22" s="40" t="n"/>
      <c r="G22" s="13">
        <f>IF(F22="","",IFERROR(INDEX(Map!$B$2:$B$38,MATCH(F22,Map!$A$2:$A$38,0)),"UNKNOWN CODE"))</f>
        <v/>
      </c>
      <c r="H22" s="13">
        <f>IF(F22="","",F22&amp;"#"&amp;COUNTIF($F$6:F22,F22))</f>
        <v/>
      </c>
    </row>
    <row r="23">
      <c r="A23" s="40" t="n"/>
      <c r="B23" s="42" t="n"/>
      <c r="C23" s="42" t="n"/>
      <c r="D23" s="42" t="n"/>
      <c r="E23" s="42" t="n"/>
      <c r="F23" s="40" t="n"/>
      <c r="G23" s="13">
        <f>IF(F23="","",IFERROR(INDEX(Map!$B$2:$B$38,MATCH(F23,Map!$A$2:$A$38,0)),"UNKNOWN CODE"))</f>
        <v/>
      </c>
      <c r="H23" s="13">
        <f>IF(F23="","",F23&amp;"#"&amp;COUNTIF($F$6:F23,F23))</f>
        <v/>
      </c>
    </row>
    <row r="24">
      <c r="A24" s="40" t="n"/>
      <c r="B24" s="42" t="n"/>
      <c r="C24" s="42" t="n"/>
      <c r="D24" s="42" t="n"/>
      <c r="E24" s="42" t="n"/>
      <c r="F24" s="40" t="n"/>
      <c r="G24" s="13">
        <f>IF(F24="","",IFERROR(INDEX(Map!$B$2:$B$38,MATCH(F24,Map!$A$2:$A$38,0)),"UNKNOWN CODE"))</f>
        <v/>
      </c>
      <c r="H24" s="13">
        <f>IF(F24="","",F24&amp;"#"&amp;COUNTIF($F$6:F24,F24))</f>
        <v/>
      </c>
    </row>
    <row r="25">
      <c r="A25" s="40" t="n"/>
      <c r="B25" s="42" t="n"/>
      <c r="C25" s="42" t="n"/>
      <c r="D25" s="42" t="n"/>
      <c r="E25" s="42" t="n"/>
      <c r="F25" s="40" t="n"/>
      <c r="G25" s="13">
        <f>IF(F25="","",IFERROR(INDEX(Map!$B$2:$B$38,MATCH(F25,Map!$A$2:$A$38,0)),"UNKNOWN CODE"))</f>
        <v/>
      </c>
      <c r="H25" s="13">
        <f>IF(F25="","",F25&amp;"#"&amp;COUNTIF($F$6:F25,F25))</f>
        <v/>
      </c>
    </row>
    <row r="26">
      <c r="A26" s="40" t="n"/>
      <c r="B26" s="42" t="n"/>
      <c r="C26" s="42" t="n"/>
      <c r="D26" s="42" t="n"/>
      <c r="E26" s="42" t="n"/>
      <c r="F26" s="40" t="n"/>
      <c r="G26" s="13">
        <f>IF(F26="","",IFERROR(INDEX(Map!$B$2:$B$38,MATCH(F26,Map!$A$2:$A$38,0)),"UNKNOWN CODE"))</f>
        <v/>
      </c>
      <c r="H26" s="13">
        <f>IF(F26="","",F26&amp;"#"&amp;COUNTIF($F$6:F26,F26))</f>
        <v/>
      </c>
    </row>
    <row r="27">
      <c r="A27" s="40" t="n"/>
      <c r="B27" s="42" t="n"/>
      <c r="C27" s="42" t="n"/>
      <c r="D27" s="42" t="n"/>
      <c r="E27" s="42" t="n"/>
      <c r="F27" s="40" t="n"/>
      <c r="G27" s="13">
        <f>IF(F27="","",IFERROR(INDEX(Map!$B$2:$B$38,MATCH(F27,Map!$A$2:$A$38,0)),"UNKNOWN CODE"))</f>
        <v/>
      </c>
      <c r="H27" s="13">
        <f>IF(F27="","",F27&amp;"#"&amp;COUNTIF($F$6:F27,F27))</f>
        <v/>
      </c>
    </row>
    <row r="28">
      <c r="A28" s="40" t="n"/>
      <c r="B28" s="42" t="n"/>
      <c r="C28" s="42" t="n"/>
      <c r="D28" s="42" t="n"/>
      <c r="E28" s="42" t="n"/>
      <c r="F28" s="40" t="n"/>
      <c r="G28" s="13">
        <f>IF(F28="","",IFERROR(INDEX(Map!$B$2:$B$38,MATCH(F28,Map!$A$2:$A$38,0)),"UNKNOWN CODE"))</f>
        <v/>
      </c>
      <c r="H28" s="13">
        <f>IF(F28="","",F28&amp;"#"&amp;COUNTIF($F$6:F28,F28))</f>
        <v/>
      </c>
    </row>
    <row r="29">
      <c r="A29" s="40" t="n"/>
      <c r="B29" s="42" t="n"/>
      <c r="C29" s="42" t="n"/>
      <c r="D29" s="42" t="n"/>
      <c r="E29" s="42" t="n"/>
      <c r="F29" s="40" t="n"/>
      <c r="G29" s="13">
        <f>IF(F29="","",IFERROR(INDEX(Map!$B$2:$B$38,MATCH(F29,Map!$A$2:$A$38,0)),"UNKNOWN CODE"))</f>
        <v/>
      </c>
      <c r="H29" s="13">
        <f>IF(F29="","",F29&amp;"#"&amp;COUNTIF($F$6:F29,F29))</f>
        <v/>
      </c>
    </row>
    <row r="30">
      <c r="A30" s="40" t="n"/>
      <c r="B30" s="42" t="n"/>
      <c r="C30" s="42" t="n"/>
      <c r="D30" s="42" t="n"/>
      <c r="E30" s="42" t="n"/>
      <c r="F30" s="40" t="n"/>
      <c r="G30" s="13">
        <f>IF(F30="","",IFERROR(INDEX(Map!$B$2:$B$38,MATCH(F30,Map!$A$2:$A$38,0)),"UNKNOWN CODE"))</f>
        <v/>
      </c>
      <c r="H30" s="13">
        <f>IF(F30="","",F30&amp;"#"&amp;COUNTIF($F$6:F30,F30))</f>
        <v/>
      </c>
    </row>
    <row r="31">
      <c r="A31" s="40" t="n"/>
      <c r="B31" s="42" t="n"/>
      <c r="C31" s="42" t="n"/>
      <c r="D31" s="42" t="n"/>
      <c r="E31" s="42" t="n"/>
      <c r="F31" s="40" t="n"/>
      <c r="G31" s="13">
        <f>IF(F31="","",IFERROR(INDEX(Map!$B$2:$B$38,MATCH(F31,Map!$A$2:$A$38,0)),"UNKNOWN CODE"))</f>
        <v/>
      </c>
      <c r="H31" s="13">
        <f>IF(F31="","",F31&amp;"#"&amp;COUNTIF($F$6:F31,F31))</f>
        <v/>
      </c>
    </row>
    <row r="32">
      <c r="A32" s="40" t="n"/>
      <c r="B32" s="42" t="n"/>
      <c r="C32" s="42" t="n"/>
      <c r="D32" s="42" t="n"/>
      <c r="E32" s="42" t="n"/>
      <c r="F32" s="40" t="n"/>
      <c r="G32" s="13">
        <f>IF(F32="","",IFERROR(INDEX(Map!$B$2:$B$38,MATCH(F32,Map!$A$2:$A$38,0)),"UNKNOWN CODE"))</f>
        <v/>
      </c>
      <c r="H32" s="13">
        <f>IF(F32="","",F32&amp;"#"&amp;COUNTIF($F$6:F32,F32))</f>
        <v/>
      </c>
    </row>
    <row r="33">
      <c r="A33" s="40" t="n"/>
      <c r="B33" s="42" t="n"/>
      <c r="C33" s="42" t="n"/>
      <c r="D33" s="42" t="n"/>
      <c r="E33" s="42" t="n"/>
      <c r="F33" s="40" t="n"/>
      <c r="G33" s="13">
        <f>IF(F33="","",IFERROR(INDEX(Map!$B$2:$B$38,MATCH(F33,Map!$A$2:$A$38,0)),"UNKNOWN CODE"))</f>
        <v/>
      </c>
      <c r="H33" s="13">
        <f>IF(F33="","",F33&amp;"#"&amp;COUNTIF($F$6:F33,F33))</f>
        <v/>
      </c>
    </row>
    <row r="34">
      <c r="A34" s="40" t="n"/>
      <c r="B34" s="42" t="n"/>
      <c r="C34" s="42" t="n"/>
      <c r="D34" s="42" t="n"/>
      <c r="E34" s="42" t="n"/>
      <c r="F34" s="40" t="n"/>
      <c r="G34" s="13">
        <f>IF(F34="","",IFERROR(INDEX(Map!$B$2:$B$38,MATCH(F34,Map!$A$2:$A$38,0)),"UNKNOWN CODE"))</f>
        <v/>
      </c>
      <c r="H34" s="13">
        <f>IF(F34="","",F34&amp;"#"&amp;COUNTIF($F$6:F34,F34))</f>
        <v/>
      </c>
    </row>
    <row r="35">
      <c r="A35" s="40" t="n"/>
      <c r="B35" s="42" t="n"/>
      <c r="C35" s="42" t="n"/>
      <c r="D35" s="42" t="n"/>
      <c r="E35" s="42" t="n"/>
      <c r="F35" s="40" t="n"/>
      <c r="G35" s="13">
        <f>IF(F35="","",IFERROR(INDEX(Map!$B$2:$B$38,MATCH(F35,Map!$A$2:$A$38,0)),"UNKNOWN CODE"))</f>
        <v/>
      </c>
      <c r="H35" s="13">
        <f>IF(F35="","",F35&amp;"#"&amp;COUNTIF($F$6:F35,F35))</f>
        <v/>
      </c>
    </row>
    <row r="36">
      <c r="A36" s="40" t="n"/>
      <c r="B36" s="42" t="n"/>
      <c r="C36" s="42" t="n"/>
      <c r="D36" s="42" t="n"/>
      <c r="E36" s="42" t="n"/>
      <c r="F36" s="40" t="n"/>
      <c r="G36" s="13">
        <f>IF(F36="","",IFERROR(INDEX(Map!$B$2:$B$38,MATCH(F36,Map!$A$2:$A$38,0)),"UNKNOWN CODE"))</f>
        <v/>
      </c>
      <c r="H36" s="13">
        <f>IF(F36="","",F36&amp;"#"&amp;COUNTIF($F$6:F36,F36))</f>
        <v/>
      </c>
    </row>
    <row r="37">
      <c r="A37" s="40" t="n"/>
      <c r="B37" s="42" t="n"/>
      <c r="C37" s="42" t="n"/>
      <c r="D37" s="42" t="n"/>
      <c r="E37" s="42" t="n"/>
      <c r="F37" s="40" t="n"/>
      <c r="G37" s="13">
        <f>IF(F37="","",IFERROR(INDEX(Map!$B$2:$B$38,MATCH(F37,Map!$A$2:$A$38,0)),"UNKNOWN CODE"))</f>
        <v/>
      </c>
      <c r="H37" s="13">
        <f>IF(F37="","",F37&amp;"#"&amp;COUNTIF($F$6:F37,F37))</f>
        <v/>
      </c>
    </row>
    <row r="38">
      <c r="A38" s="40" t="n"/>
      <c r="B38" s="42" t="n"/>
      <c r="C38" s="42" t="n"/>
      <c r="D38" s="42" t="n"/>
      <c r="E38" s="42" t="n"/>
      <c r="F38" s="40" t="n"/>
      <c r="G38" s="13">
        <f>IF(F38="","",IFERROR(INDEX(Map!$B$2:$B$38,MATCH(F38,Map!$A$2:$A$38,0)),"UNKNOWN CODE"))</f>
        <v/>
      </c>
      <c r="H38" s="13">
        <f>IF(F38="","",F38&amp;"#"&amp;COUNTIF($F$6:F38,F38))</f>
        <v/>
      </c>
    </row>
    <row r="39">
      <c r="A39" s="40" t="n"/>
      <c r="B39" s="42" t="n"/>
      <c r="C39" s="42" t="n"/>
      <c r="D39" s="42" t="n"/>
      <c r="E39" s="42" t="n"/>
      <c r="F39" s="40" t="n"/>
      <c r="G39" s="13">
        <f>IF(F39="","",IFERROR(INDEX(Map!$B$2:$B$38,MATCH(F39,Map!$A$2:$A$38,0)),"UNKNOWN CODE"))</f>
        <v/>
      </c>
      <c r="H39" s="13">
        <f>IF(F39="","",F39&amp;"#"&amp;COUNTIF($F$6:F39,F39))</f>
        <v/>
      </c>
    </row>
    <row r="40">
      <c r="A40" s="40" t="n"/>
      <c r="B40" s="42" t="n"/>
      <c r="C40" s="42" t="n"/>
      <c r="D40" s="42" t="n"/>
      <c r="E40" s="42" t="n"/>
      <c r="F40" s="40" t="n"/>
      <c r="G40" s="13">
        <f>IF(F40="","",IFERROR(INDEX(Map!$B$2:$B$38,MATCH(F40,Map!$A$2:$A$38,0)),"UNKNOWN CODE"))</f>
        <v/>
      </c>
      <c r="H40" s="13">
        <f>IF(F40="","",F40&amp;"#"&amp;COUNTIF($F$6:F40,F40))</f>
        <v/>
      </c>
    </row>
    <row r="41">
      <c r="A41" s="40" t="n"/>
      <c r="B41" s="42" t="n"/>
      <c r="C41" s="42" t="n"/>
      <c r="D41" s="42" t="n"/>
      <c r="E41" s="42" t="n"/>
      <c r="F41" s="40" t="n"/>
      <c r="G41" s="13">
        <f>IF(F41="","",IFERROR(INDEX(Map!$B$2:$B$38,MATCH(F41,Map!$A$2:$A$38,0)),"UNKNOWN CODE"))</f>
        <v/>
      </c>
      <c r="H41" s="13">
        <f>IF(F41="","",F41&amp;"#"&amp;COUNTIF($F$6:F41,F41))</f>
        <v/>
      </c>
    </row>
    <row r="42">
      <c r="A42" s="40" t="n"/>
      <c r="B42" s="42" t="n"/>
      <c r="C42" s="42" t="n"/>
      <c r="D42" s="42" t="n"/>
      <c r="E42" s="42" t="n"/>
      <c r="F42" s="40" t="n"/>
      <c r="G42" s="13">
        <f>IF(F42="","",IFERROR(INDEX(Map!$B$2:$B$38,MATCH(F42,Map!$A$2:$A$38,0)),"UNKNOWN CODE"))</f>
        <v/>
      </c>
      <c r="H42" s="13">
        <f>IF(F42="","",F42&amp;"#"&amp;COUNTIF($F$6:F42,F42))</f>
        <v/>
      </c>
    </row>
    <row r="43">
      <c r="A43" s="40" t="n"/>
      <c r="B43" s="42" t="n"/>
      <c r="C43" s="42" t="n"/>
      <c r="D43" s="42" t="n"/>
      <c r="E43" s="42" t="n"/>
      <c r="F43" s="40" t="n"/>
      <c r="G43" s="13">
        <f>IF(F43="","",IFERROR(INDEX(Map!$B$2:$B$38,MATCH(F43,Map!$A$2:$A$38,0)),"UNKNOWN CODE"))</f>
        <v/>
      </c>
      <c r="H43" s="13">
        <f>IF(F43="","",F43&amp;"#"&amp;COUNTIF($F$6:F43,F43))</f>
        <v/>
      </c>
    </row>
    <row r="44">
      <c r="A44" s="40" t="n"/>
      <c r="B44" s="42" t="n"/>
      <c r="C44" s="42" t="n"/>
      <c r="D44" s="42" t="n"/>
      <c r="E44" s="42" t="n"/>
      <c r="F44" s="40" t="n"/>
      <c r="G44" s="13">
        <f>IF(F44="","",IFERROR(INDEX(Map!$B$2:$B$38,MATCH(F44,Map!$A$2:$A$38,0)),"UNKNOWN CODE"))</f>
        <v/>
      </c>
      <c r="H44" s="13">
        <f>IF(F44="","",F44&amp;"#"&amp;COUNTIF($F$6:F44,F44))</f>
        <v/>
      </c>
    </row>
    <row r="45">
      <c r="A45" s="40" t="n"/>
      <c r="B45" s="42" t="n"/>
      <c r="C45" s="42" t="n"/>
      <c r="D45" s="42" t="n"/>
      <c r="E45" s="42" t="n"/>
      <c r="F45" s="40" t="n"/>
      <c r="G45" s="13">
        <f>IF(F45="","",IFERROR(INDEX(Map!$B$2:$B$38,MATCH(F45,Map!$A$2:$A$38,0)),"UNKNOWN CODE"))</f>
        <v/>
      </c>
      <c r="H45" s="13">
        <f>IF(F45="","",F45&amp;"#"&amp;COUNTIF($F$6:F45,F45))</f>
        <v/>
      </c>
    </row>
    <row r="46">
      <c r="A46" s="40" t="n"/>
      <c r="B46" s="42" t="n"/>
      <c r="C46" s="42" t="n"/>
      <c r="D46" s="42" t="n"/>
      <c r="E46" s="42" t="n"/>
      <c r="F46" s="40" t="n"/>
      <c r="G46" s="13">
        <f>IF(F46="","",IFERROR(INDEX(Map!$B$2:$B$38,MATCH(F46,Map!$A$2:$A$38,0)),"UNKNOWN CODE"))</f>
        <v/>
      </c>
      <c r="H46" s="13">
        <f>IF(F46="","",F46&amp;"#"&amp;COUNTIF($F$6:F46,F46))</f>
        <v/>
      </c>
    </row>
    <row r="47">
      <c r="A47" s="40" t="n"/>
      <c r="B47" s="42" t="n"/>
      <c r="C47" s="42" t="n"/>
      <c r="D47" s="42" t="n"/>
      <c r="E47" s="42" t="n"/>
      <c r="F47" s="40" t="n"/>
      <c r="G47" s="13">
        <f>IF(F47="","",IFERROR(INDEX(Map!$B$2:$B$38,MATCH(F47,Map!$A$2:$A$38,0)),"UNKNOWN CODE"))</f>
        <v/>
      </c>
      <c r="H47" s="13">
        <f>IF(F47="","",F47&amp;"#"&amp;COUNTIF($F$6:F47,F47))</f>
        <v/>
      </c>
    </row>
    <row r="48">
      <c r="A48" s="40" t="n"/>
      <c r="B48" s="42" t="n"/>
      <c r="C48" s="42" t="n"/>
      <c r="D48" s="42" t="n"/>
      <c r="E48" s="42" t="n"/>
      <c r="F48" s="40" t="n"/>
      <c r="G48" s="13">
        <f>IF(F48="","",IFERROR(INDEX(Map!$B$2:$B$38,MATCH(F48,Map!$A$2:$A$38,0)),"UNKNOWN CODE"))</f>
        <v/>
      </c>
      <c r="H48" s="13">
        <f>IF(F48="","",F48&amp;"#"&amp;COUNTIF($F$6:F48,F48))</f>
        <v/>
      </c>
    </row>
    <row r="49">
      <c r="A49" s="40" t="n"/>
      <c r="B49" s="42" t="n"/>
      <c r="C49" s="42" t="n"/>
      <c r="D49" s="42" t="n"/>
      <c r="E49" s="42" t="n"/>
      <c r="F49" s="40" t="n"/>
      <c r="G49" s="13">
        <f>IF(F49="","",IFERROR(INDEX(Map!$B$2:$B$38,MATCH(F49,Map!$A$2:$A$38,0)),"UNKNOWN CODE"))</f>
        <v/>
      </c>
      <c r="H49" s="13">
        <f>IF(F49="","",F49&amp;"#"&amp;COUNTIF($F$6:F49,F49))</f>
        <v/>
      </c>
    </row>
    <row r="50">
      <c r="A50" s="40" t="n"/>
      <c r="B50" s="42" t="n"/>
      <c r="C50" s="42" t="n"/>
      <c r="D50" s="42" t="n"/>
      <c r="E50" s="42" t="n"/>
      <c r="F50" s="40" t="n"/>
      <c r="G50" s="13">
        <f>IF(F50="","",IFERROR(INDEX(Map!$B$2:$B$38,MATCH(F50,Map!$A$2:$A$38,0)),"UNKNOWN CODE"))</f>
        <v/>
      </c>
      <c r="H50" s="13">
        <f>IF(F50="","",F50&amp;"#"&amp;COUNTIF($F$6:F50,F50))</f>
        <v/>
      </c>
    </row>
    <row r="51">
      <c r="A51" s="40" t="n"/>
      <c r="B51" s="42" t="n"/>
      <c r="C51" s="42" t="n"/>
      <c r="D51" s="42" t="n"/>
      <c r="E51" s="42" t="n"/>
      <c r="F51" s="40" t="n"/>
      <c r="G51" s="13">
        <f>IF(F51="","",IFERROR(INDEX(Map!$B$2:$B$38,MATCH(F51,Map!$A$2:$A$38,0)),"UNKNOWN CODE"))</f>
        <v/>
      </c>
      <c r="H51" s="13">
        <f>IF(F51="","",F51&amp;"#"&amp;COUNTIF($F$6:F51,F51))</f>
        <v/>
      </c>
    </row>
    <row r="52">
      <c r="A52" s="40" t="n"/>
      <c r="B52" s="42" t="n"/>
      <c r="C52" s="42" t="n"/>
      <c r="D52" s="42" t="n"/>
      <c r="E52" s="42" t="n"/>
      <c r="F52" s="40" t="n"/>
      <c r="G52" s="13">
        <f>IF(F52="","",IFERROR(INDEX(Map!$B$2:$B$38,MATCH(F52,Map!$A$2:$A$38,0)),"UNKNOWN CODE"))</f>
        <v/>
      </c>
      <c r="H52" s="13">
        <f>IF(F52="","",F52&amp;"#"&amp;COUNTIF($F$6:F52,F52))</f>
        <v/>
      </c>
    </row>
    <row r="53">
      <c r="A53" s="40" t="n"/>
      <c r="B53" s="42" t="n"/>
      <c r="C53" s="42" t="n"/>
      <c r="D53" s="42" t="n"/>
      <c r="E53" s="42" t="n"/>
      <c r="F53" s="40" t="n"/>
      <c r="G53" s="13">
        <f>IF(F53="","",IFERROR(INDEX(Map!$B$2:$B$38,MATCH(F53,Map!$A$2:$A$38,0)),"UNKNOWN CODE"))</f>
        <v/>
      </c>
      <c r="H53" s="13">
        <f>IF(F53="","",F53&amp;"#"&amp;COUNTIF($F$6:F53,F53))</f>
        <v/>
      </c>
    </row>
    <row r="54">
      <c r="A54" s="40" t="n"/>
      <c r="B54" s="42" t="n"/>
      <c r="C54" s="42" t="n"/>
      <c r="D54" s="42" t="n"/>
      <c r="E54" s="42" t="n"/>
      <c r="F54" s="40" t="n"/>
      <c r="G54" s="13">
        <f>IF(F54="","",IFERROR(INDEX(Map!$B$2:$B$38,MATCH(F54,Map!$A$2:$A$38,0)),"UNKNOWN CODE"))</f>
        <v/>
      </c>
      <c r="H54" s="13">
        <f>IF(F54="","",F54&amp;"#"&amp;COUNTIF($F$6:F54,F54))</f>
        <v/>
      </c>
    </row>
    <row r="55">
      <c r="A55" s="40" t="n"/>
      <c r="B55" s="42" t="n"/>
      <c r="C55" s="42" t="n"/>
      <c r="D55" s="42" t="n"/>
      <c r="E55" s="42" t="n"/>
      <c r="F55" s="40" t="n"/>
      <c r="G55" s="13">
        <f>IF(F55="","",IFERROR(INDEX(Map!$B$2:$B$38,MATCH(F55,Map!$A$2:$A$38,0)),"UNKNOWN CODE"))</f>
        <v/>
      </c>
      <c r="H55" s="13">
        <f>IF(F55="","",F55&amp;"#"&amp;COUNTIF($F$6:F55,F55))</f>
        <v/>
      </c>
    </row>
    <row r="56">
      <c r="A56" s="40" t="n"/>
      <c r="B56" s="42" t="n"/>
      <c r="C56" s="42" t="n"/>
      <c r="D56" s="42" t="n"/>
      <c r="E56" s="42" t="n"/>
      <c r="F56" s="40" t="n"/>
      <c r="G56" s="13">
        <f>IF(F56="","",IFERROR(INDEX(Map!$B$2:$B$38,MATCH(F56,Map!$A$2:$A$38,0)),"UNKNOWN CODE"))</f>
        <v/>
      </c>
      <c r="H56" s="13">
        <f>IF(F56="","",F56&amp;"#"&amp;COUNTIF($F$6:F56,F56))</f>
        <v/>
      </c>
    </row>
    <row r="57">
      <c r="A57" s="40" t="n"/>
      <c r="B57" s="42" t="n"/>
      <c r="C57" s="42" t="n"/>
      <c r="D57" s="42" t="n"/>
      <c r="E57" s="42" t="n"/>
      <c r="F57" s="40" t="n"/>
      <c r="G57" s="13">
        <f>IF(F57="","",IFERROR(INDEX(Map!$B$2:$B$38,MATCH(F57,Map!$A$2:$A$38,0)),"UNKNOWN CODE"))</f>
        <v/>
      </c>
      <c r="H57" s="13">
        <f>IF(F57="","",F57&amp;"#"&amp;COUNTIF($F$6:F57,F57))</f>
        <v/>
      </c>
    </row>
    <row r="58">
      <c r="A58" s="40" t="n"/>
      <c r="B58" s="42" t="n"/>
      <c r="C58" s="42" t="n"/>
      <c r="D58" s="42" t="n"/>
      <c r="E58" s="42" t="n"/>
      <c r="F58" s="40" t="n"/>
      <c r="G58" s="13">
        <f>IF(F58="","",IFERROR(INDEX(Map!$B$2:$B$38,MATCH(F58,Map!$A$2:$A$38,0)),"UNKNOWN CODE"))</f>
        <v/>
      </c>
      <c r="H58" s="13">
        <f>IF(F58="","",F58&amp;"#"&amp;COUNTIF($F$6:F58,F58))</f>
        <v/>
      </c>
    </row>
    <row r="59">
      <c r="A59" s="40" t="n"/>
      <c r="B59" s="42" t="n"/>
      <c r="C59" s="42" t="n"/>
      <c r="D59" s="42" t="n"/>
      <c r="E59" s="42" t="n"/>
      <c r="F59" s="40" t="n"/>
      <c r="G59" s="13">
        <f>IF(F59="","",IFERROR(INDEX(Map!$B$2:$B$38,MATCH(F59,Map!$A$2:$A$38,0)),"UNKNOWN CODE"))</f>
        <v/>
      </c>
      <c r="H59" s="13">
        <f>IF(F59="","",F59&amp;"#"&amp;COUNTIF($F$6:F59,F59))</f>
        <v/>
      </c>
    </row>
    <row r="60">
      <c r="A60" s="40" t="n"/>
      <c r="B60" s="42" t="n"/>
      <c r="C60" s="42" t="n"/>
      <c r="D60" s="42" t="n"/>
      <c r="E60" s="42" t="n"/>
      <c r="F60" s="40" t="n"/>
      <c r="G60" s="13">
        <f>IF(F60="","",IFERROR(INDEX(Map!$B$2:$B$38,MATCH(F60,Map!$A$2:$A$38,0)),"UNKNOWN CODE"))</f>
        <v/>
      </c>
      <c r="H60" s="13">
        <f>IF(F60="","",F60&amp;"#"&amp;COUNTIF($F$6:F60,F60))</f>
        <v/>
      </c>
    </row>
    <row r="61">
      <c r="A61" s="40" t="n"/>
      <c r="B61" s="42" t="n"/>
      <c r="C61" s="42" t="n"/>
      <c r="D61" s="42" t="n"/>
      <c r="E61" s="42" t="n"/>
      <c r="F61" s="40" t="n"/>
      <c r="G61" s="13">
        <f>IF(F61="","",IFERROR(INDEX(Map!$B$2:$B$38,MATCH(F61,Map!$A$2:$A$38,0)),"UNKNOWN CODE"))</f>
        <v/>
      </c>
      <c r="H61" s="13">
        <f>IF(F61="","",F61&amp;"#"&amp;COUNTIF($F$6:F61,F61))</f>
        <v/>
      </c>
    </row>
    <row r="62">
      <c r="A62" s="40" t="n"/>
      <c r="B62" s="42" t="n"/>
      <c r="C62" s="42" t="n"/>
      <c r="D62" s="42" t="n"/>
      <c r="E62" s="42" t="n"/>
      <c r="F62" s="40" t="n"/>
      <c r="G62" s="13">
        <f>IF(F62="","",IFERROR(INDEX(Map!$B$2:$B$38,MATCH(F62,Map!$A$2:$A$38,0)),"UNKNOWN CODE"))</f>
        <v/>
      </c>
      <c r="H62" s="13">
        <f>IF(F62="","",F62&amp;"#"&amp;COUNTIF($F$6:F62,F62))</f>
        <v/>
      </c>
    </row>
    <row r="63">
      <c r="A63" s="40" t="n"/>
      <c r="B63" s="42" t="n"/>
      <c r="C63" s="42" t="n"/>
      <c r="D63" s="42" t="n"/>
      <c r="E63" s="42" t="n"/>
      <c r="F63" s="40" t="n"/>
      <c r="G63" s="13">
        <f>IF(F63="","",IFERROR(INDEX(Map!$B$2:$B$38,MATCH(F63,Map!$A$2:$A$38,0)),"UNKNOWN CODE"))</f>
        <v/>
      </c>
      <c r="H63" s="13">
        <f>IF(F63="","",F63&amp;"#"&amp;COUNTIF($F$6:F63,F63))</f>
        <v/>
      </c>
    </row>
    <row r="64">
      <c r="A64" s="40" t="n"/>
      <c r="B64" s="42" t="n"/>
      <c r="C64" s="42" t="n"/>
      <c r="D64" s="42" t="n"/>
      <c r="E64" s="42" t="n"/>
      <c r="F64" s="40" t="n"/>
      <c r="G64" s="13">
        <f>IF(F64="","",IFERROR(INDEX(Map!$B$2:$B$38,MATCH(F64,Map!$A$2:$A$38,0)),"UNKNOWN CODE"))</f>
        <v/>
      </c>
      <c r="H64" s="13">
        <f>IF(F64="","",F64&amp;"#"&amp;COUNTIF($F$6:F64,F64))</f>
        <v/>
      </c>
    </row>
    <row r="65">
      <c r="A65" s="40" t="n"/>
      <c r="B65" s="42" t="n"/>
      <c r="C65" s="42" t="n"/>
      <c r="D65" s="42" t="n"/>
      <c r="E65" s="42" t="n"/>
      <c r="F65" s="40" t="n"/>
      <c r="G65" s="13">
        <f>IF(F65="","",IFERROR(INDEX(Map!$B$2:$B$38,MATCH(F65,Map!$A$2:$A$38,0)),"UNKNOWN CODE"))</f>
        <v/>
      </c>
      <c r="H65" s="13">
        <f>IF(F65="","",F65&amp;"#"&amp;COUNTIF($F$6:F65,F65))</f>
        <v/>
      </c>
    </row>
    <row r="66">
      <c r="A66" s="40" t="n"/>
      <c r="B66" s="42" t="n"/>
      <c r="C66" s="42" t="n"/>
      <c r="D66" s="42" t="n"/>
      <c r="E66" s="42" t="n"/>
      <c r="F66" s="40" t="n"/>
      <c r="G66" s="13">
        <f>IF(F66="","",IFERROR(INDEX(Map!$B$2:$B$38,MATCH(F66,Map!$A$2:$A$38,0)),"UNKNOWN CODE"))</f>
        <v/>
      </c>
      <c r="H66" s="13">
        <f>IF(F66="","",F66&amp;"#"&amp;COUNTIF($F$6:F66,F66))</f>
        <v/>
      </c>
    </row>
    <row r="67">
      <c r="A67" s="40" t="n"/>
      <c r="B67" s="42" t="n"/>
      <c r="C67" s="42" t="n"/>
      <c r="D67" s="42" t="n"/>
      <c r="E67" s="42" t="n"/>
      <c r="F67" s="40" t="n"/>
      <c r="G67" s="13">
        <f>IF(F67="","",IFERROR(INDEX(Map!$B$2:$B$38,MATCH(F67,Map!$A$2:$A$38,0)),"UNKNOWN CODE"))</f>
        <v/>
      </c>
      <c r="H67" s="13">
        <f>IF(F67="","",F67&amp;"#"&amp;COUNTIF($F$6:F67,F67))</f>
        <v/>
      </c>
    </row>
    <row r="68">
      <c r="A68" s="40" t="n"/>
      <c r="B68" s="42" t="n"/>
      <c r="C68" s="42" t="n"/>
      <c r="D68" s="42" t="n"/>
      <c r="E68" s="42" t="n"/>
      <c r="F68" s="40" t="n"/>
      <c r="G68" s="13">
        <f>IF(F68="","",IFERROR(INDEX(Map!$B$2:$B$38,MATCH(F68,Map!$A$2:$A$38,0)),"UNKNOWN CODE"))</f>
        <v/>
      </c>
      <c r="H68" s="13">
        <f>IF(F68="","",F68&amp;"#"&amp;COUNTIF($F$6:F68,F68))</f>
        <v/>
      </c>
    </row>
    <row r="69">
      <c r="A69" s="40" t="n"/>
      <c r="B69" s="42" t="n"/>
      <c r="C69" s="42" t="n"/>
      <c r="D69" s="42" t="n"/>
      <c r="E69" s="42" t="n"/>
      <c r="F69" s="40" t="n"/>
      <c r="G69" s="13">
        <f>IF(F69="","",IFERROR(INDEX(Map!$B$2:$B$38,MATCH(F69,Map!$A$2:$A$38,0)),"UNKNOWN CODE"))</f>
        <v/>
      </c>
      <c r="H69" s="13">
        <f>IF(F69="","",F69&amp;"#"&amp;COUNTIF($F$6:F69,F69))</f>
        <v/>
      </c>
    </row>
    <row r="70">
      <c r="A70" s="40" t="n"/>
      <c r="B70" s="42" t="n"/>
      <c r="C70" s="42" t="n"/>
      <c r="D70" s="42" t="n"/>
      <c r="E70" s="42" t="n"/>
      <c r="F70" s="40" t="n"/>
      <c r="G70" s="13">
        <f>IF(F70="","",IFERROR(INDEX(Map!$B$2:$B$38,MATCH(F70,Map!$A$2:$A$38,0)),"UNKNOWN CODE"))</f>
        <v/>
      </c>
      <c r="H70" s="13">
        <f>IF(F70="","",F70&amp;"#"&amp;COUNTIF($F$6:F70,F70))</f>
        <v/>
      </c>
    </row>
    <row r="71">
      <c r="A71" s="40" t="n"/>
      <c r="B71" s="42" t="n"/>
      <c r="C71" s="42" t="n"/>
      <c r="D71" s="42" t="n"/>
      <c r="E71" s="42" t="n"/>
      <c r="F71" s="40" t="n"/>
      <c r="G71" s="13">
        <f>IF(F71="","",IFERROR(INDEX(Map!$B$2:$B$38,MATCH(F71,Map!$A$2:$A$38,0)),"UNKNOWN CODE"))</f>
        <v/>
      </c>
      <c r="H71" s="13">
        <f>IF(F71="","",F71&amp;"#"&amp;COUNTIF($F$6:F71,F71))</f>
        <v/>
      </c>
    </row>
    <row r="72">
      <c r="A72" s="40" t="n"/>
      <c r="B72" s="42" t="n"/>
      <c r="C72" s="42" t="n"/>
      <c r="D72" s="42" t="n"/>
      <c r="E72" s="42" t="n"/>
      <c r="F72" s="40" t="n"/>
      <c r="G72" s="13">
        <f>IF(F72="","",IFERROR(INDEX(Map!$B$2:$B$38,MATCH(F72,Map!$A$2:$A$38,0)),"UNKNOWN CODE"))</f>
        <v/>
      </c>
      <c r="H72" s="13">
        <f>IF(F72="","",F72&amp;"#"&amp;COUNTIF($F$6:F72,F72))</f>
        <v/>
      </c>
    </row>
    <row r="73">
      <c r="A73" s="40" t="n"/>
      <c r="B73" s="42" t="n"/>
      <c r="C73" s="42" t="n"/>
      <c r="D73" s="42" t="n"/>
      <c r="E73" s="42" t="n"/>
      <c r="F73" s="40" t="n"/>
      <c r="G73" s="13">
        <f>IF(F73="","",IFERROR(INDEX(Map!$B$2:$B$38,MATCH(F73,Map!$A$2:$A$38,0)),"UNKNOWN CODE"))</f>
        <v/>
      </c>
      <c r="H73" s="13">
        <f>IF(F73="","",F73&amp;"#"&amp;COUNTIF($F$6:F73,F73))</f>
        <v/>
      </c>
    </row>
    <row r="74">
      <c r="A74" s="40" t="n"/>
      <c r="B74" s="42" t="n"/>
      <c r="C74" s="42" t="n"/>
      <c r="D74" s="42" t="n"/>
      <c r="E74" s="42" t="n"/>
      <c r="F74" s="40" t="n"/>
      <c r="G74" s="13">
        <f>IF(F74="","",IFERROR(INDEX(Map!$B$2:$B$38,MATCH(F74,Map!$A$2:$A$38,0)),"UNKNOWN CODE"))</f>
        <v/>
      </c>
      <c r="H74" s="13">
        <f>IF(F74="","",F74&amp;"#"&amp;COUNTIF($F$6:F74,F74))</f>
        <v/>
      </c>
    </row>
    <row r="75">
      <c r="A75" s="40" t="n"/>
      <c r="B75" s="42" t="n"/>
      <c r="C75" s="42" t="n"/>
      <c r="D75" s="42" t="n"/>
      <c r="E75" s="42" t="n"/>
      <c r="F75" s="40" t="n"/>
      <c r="G75" s="13">
        <f>IF(F75="","",IFERROR(INDEX(Map!$B$2:$B$38,MATCH(F75,Map!$A$2:$A$38,0)),"UNKNOWN CODE"))</f>
        <v/>
      </c>
      <c r="H75" s="13">
        <f>IF(F75="","",F75&amp;"#"&amp;COUNTIF($F$6:F75,F75))</f>
        <v/>
      </c>
    </row>
    <row r="76">
      <c r="A76" s="40" t="n"/>
      <c r="B76" s="42" t="n"/>
      <c r="C76" s="42" t="n"/>
      <c r="D76" s="42" t="n"/>
      <c r="E76" s="42" t="n"/>
      <c r="F76" s="40" t="n"/>
      <c r="G76" s="13">
        <f>IF(F76="","",IFERROR(INDEX(Map!$B$2:$B$38,MATCH(F76,Map!$A$2:$A$38,0)),"UNKNOWN CODE"))</f>
        <v/>
      </c>
      <c r="H76" s="13">
        <f>IF(F76="","",F76&amp;"#"&amp;COUNTIF($F$6:F76,F76))</f>
        <v/>
      </c>
    </row>
    <row r="77">
      <c r="A77" s="40" t="n"/>
      <c r="B77" s="42" t="n"/>
      <c r="C77" s="42" t="n"/>
      <c r="D77" s="42" t="n"/>
      <c r="E77" s="42" t="n"/>
      <c r="F77" s="40" t="n"/>
      <c r="G77" s="13">
        <f>IF(F77="","",IFERROR(INDEX(Map!$B$2:$B$38,MATCH(F77,Map!$A$2:$A$38,0)),"UNKNOWN CODE"))</f>
        <v/>
      </c>
      <c r="H77" s="13">
        <f>IF(F77="","",F77&amp;"#"&amp;COUNTIF($F$6:F77,F77))</f>
        <v/>
      </c>
    </row>
    <row r="78">
      <c r="A78" s="40" t="n"/>
      <c r="B78" s="42" t="n"/>
      <c r="C78" s="42" t="n"/>
      <c r="D78" s="42" t="n"/>
      <c r="E78" s="42" t="n"/>
      <c r="F78" s="40" t="n"/>
      <c r="G78" s="13">
        <f>IF(F78="","",IFERROR(INDEX(Map!$B$2:$B$38,MATCH(F78,Map!$A$2:$A$38,0)),"UNKNOWN CODE"))</f>
        <v/>
      </c>
      <c r="H78" s="13">
        <f>IF(F78="","",F78&amp;"#"&amp;COUNTIF($F$6:F78,F78))</f>
        <v/>
      </c>
    </row>
    <row r="79">
      <c r="A79" s="40" t="n"/>
      <c r="B79" s="42" t="n"/>
      <c r="C79" s="42" t="n"/>
      <c r="D79" s="42" t="n"/>
      <c r="E79" s="42" t="n"/>
      <c r="F79" s="40" t="n"/>
      <c r="G79" s="13">
        <f>IF(F79="","",IFERROR(INDEX(Map!$B$2:$B$38,MATCH(F79,Map!$A$2:$A$38,0)),"UNKNOWN CODE"))</f>
        <v/>
      </c>
      <c r="H79" s="13">
        <f>IF(F79="","",F79&amp;"#"&amp;COUNTIF($F$6:F79,F79))</f>
        <v/>
      </c>
    </row>
    <row r="80">
      <c r="A80" s="40" t="n"/>
      <c r="B80" s="42" t="n"/>
      <c r="C80" s="42" t="n"/>
      <c r="D80" s="42" t="n"/>
      <c r="E80" s="42" t="n"/>
      <c r="F80" s="40" t="n"/>
      <c r="G80" s="13">
        <f>IF(F80="","",IFERROR(INDEX(Map!$B$2:$B$38,MATCH(F80,Map!$A$2:$A$38,0)),"UNKNOWN CODE"))</f>
        <v/>
      </c>
      <c r="H80" s="13">
        <f>IF(F80="","",F80&amp;"#"&amp;COUNTIF($F$6:F80,F80))</f>
        <v/>
      </c>
    </row>
    <row r="81">
      <c r="A81" s="40" t="n"/>
      <c r="B81" s="42" t="n"/>
      <c r="C81" s="42" t="n"/>
      <c r="D81" s="42" t="n"/>
      <c r="E81" s="42" t="n"/>
      <c r="F81" s="40" t="n"/>
      <c r="G81" s="13">
        <f>IF(F81="","",IFERROR(INDEX(Map!$B$2:$B$38,MATCH(F81,Map!$A$2:$A$38,0)),"UNKNOWN CODE"))</f>
        <v/>
      </c>
      <c r="H81" s="13">
        <f>IF(F81="","",F81&amp;"#"&amp;COUNTIF($F$6:F81,F81))</f>
        <v/>
      </c>
    </row>
    <row r="82">
      <c r="A82" s="40" t="n"/>
      <c r="B82" s="42" t="n"/>
      <c r="C82" s="42" t="n"/>
      <c r="D82" s="42" t="n"/>
      <c r="E82" s="42" t="n"/>
      <c r="F82" s="40" t="n"/>
      <c r="G82" s="13">
        <f>IF(F82="","",IFERROR(INDEX(Map!$B$2:$B$38,MATCH(F82,Map!$A$2:$A$38,0)),"UNKNOWN CODE"))</f>
        <v/>
      </c>
      <c r="H82" s="13">
        <f>IF(F82="","",F82&amp;"#"&amp;COUNTIF($F$6:F82,F82))</f>
        <v/>
      </c>
    </row>
    <row r="83">
      <c r="A83" s="40" t="n"/>
      <c r="B83" s="42" t="n"/>
      <c r="C83" s="42" t="n"/>
      <c r="D83" s="42" t="n"/>
      <c r="E83" s="42" t="n"/>
      <c r="F83" s="40" t="n"/>
      <c r="G83" s="13">
        <f>IF(F83="","",IFERROR(INDEX(Map!$B$2:$B$38,MATCH(F83,Map!$A$2:$A$38,0)),"UNKNOWN CODE"))</f>
        <v/>
      </c>
      <c r="H83" s="13">
        <f>IF(F83="","",F83&amp;"#"&amp;COUNTIF($F$6:F83,F83))</f>
        <v/>
      </c>
    </row>
    <row r="84">
      <c r="A84" s="40" t="n"/>
      <c r="B84" s="42" t="n"/>
      <c r="C84" s="42" t="n"/>
      <c r="D84" s="42" t="n"/>
      <c r="E84" s="42" t="n"/>
      <c r="F84" s="40" t="n"/>
      <c r="G84" s="13">
        <f>IF(F84="","",IFERROR(INDEX(Map!$B$2:$B$38,MATCH(F84,Map!$A$2:$A$38,0)),"UNKNOWN CODE"))</f>
        <v/>
      </c>
      <c r="H84" s="13">
        <f>IF(F84="","",F84&amp;"#"&amp;COUNTIF($F$6:F84,F84))</f>
        <v/>
      </c>
    </row>
    <row r="85">
      <c r="A85" s="40" t="n"/>
      <c r="B85" s="42" t="n"/>
      <c r="C85" s="42" t="n"/>
      <c r="D85" s="42" t="n"/>
      <c r="E85" s="42" t="n"/>
      <c r="F85" s="40" t="n"/>
      <c r="G85" s="13">
        <f>IF(F85="","",IFERROR(INDEX(Map!$B$2:$B$38,MATCH(F85,Map!$A$2:$A$38,0)),"UNKNOWN CODE"))</f>
        <v/>
      </c>
      <c r="H85" s="13">
        <f>IF(F85="","",F85&amp;"#"&amp;COUNTIF($F$6:F85,F85))</f>
        <v/>
      </c>
    </row>
    <row r="86">
      <c r="A86" s="40" t="n"/>
      <c r="B86" s="42" t="n"/>
      <c r="C86" s="42" t="n"/>
      <c r="D86" s="42" t="n"/>
      <c r="E86" s="42" t="n"/>
      <c r="F86" s="40" t="n"/>
      <c r="G86" s="13">
        <f>IF(F86="","",IFERROR(INDEX(Map!$B$2:$B$38,MATCH(F86,Map!$A$2:$A$38,0)),"UNKNOWN CODE"))</f>
        <v/>
      </c>
      <c r="H86" s="13">
        <f>IF(F86="","",F86&amp;"#"&amp;COUNTIF($F$6:F86,F86))</f>
        <v/>
      </c>
    </row>
    <row r="87">
      <c r="A87" s="40" t="n"/>
      <c r="B87" s="42" t="n"/>
      <c r="C87" s="42" t="n"/>
      <c r="D87" s="42" t="n"/>
      <c r="E87" s="42" t="n"/>
      <c r="F87" s="40" t="n"/>
      <c r="G87" s="13">
        <f>IF(F87="","",IFERROR(INDEX(Map!$B$2:$B$38,MATCH(F87,Map!$A$2:$A$38,0)),"UNKNOWN CODE"))</f>
        <v/>
      </c>
      <c r="H87" s="13">
        <f>IF(F87="","",F87&amp;"#"&amp;COUNTIF($F$6:F87,F87))</f>
        <v/>
      </c>
    </row>
    <row r="88">
      <c r="A88" s="40" t="n"/>
      <c r="B88" s="42" t="n"/>
      <c r="C88" s="42" t="n"/>
      <c r="D88" s="42" t="n"/>
      <c r="E88" s="42" t="n"/>
      <c r="F88" s="40" t="n"/>
      <c r="G88" s="13">
        <f>IF(F88="","",IFERROR(INDEX(Map!$B$2:$B$38,MATCH(F88,Map!$A$2:$A$38,0)),"UNKNOWN CODE"))</f>
        <v/>
      </c>
      <c r="H88" s="13">
        <f>IF(F88="","",F88&amp;"#"&amp;COUNTIF($F$6:F88,F88))</f>
        <v/>
      </c>
    </row>
    <row r="89">
      <c r="A89" s="40" t="n"/>
      <c r="B89" s="42" t="n"/>
      <c r="C89" s="42" t="n"/>
      <c r="D89" s="42" t="n"/>
      <c r="E89" s="42" t="n"/>
      <c r="F89" s="40" t="n"/>
      <c r="G89" s="13">
        <f>IF(F89="","",IFERROR(INDEX(Map!$B$2:$B$38,MATCH(F89,Map!$A$2:$A$38,0)),"UNKNOWN CODE"))</f>
        <v/>
      </c>
      <c r="H89" s="13">
        <f>IF(F89="","",F89&amp;"#"&amp;COUNTIF($F$6:F89,F89))</f>
        <v/>
      </c>
    </row>
    <row r="90">
      <c r="A90" s="40" t="n"/>
      <c r="B90" s="42" t="n"/>
      <c r="C90" s="42" t="n"/>
      <c r="D90" s="42" t="n"/>
      <c r="E90" s="42" t="n"/>
      <c r="F90" s="40" t="n"/>
      <c r="G90" s="13">
        <f>IF(F90="","",IFERROR(INDEX(Map!$B$2:$B$38,MATCH(F90,Map!$A$2:$A$38,0)),"UNKNOWN CODE"))</f>
        <v/>
      </c>
      <c r="H90" s="13">
        <f>IF(F90="","",F90&amp;"#"&amp;COUNTIF($F$6:F90,F90))</f>
        <v/>
      </c>
    </row>
    <row r="91">
      <c r="A91" s="40" t="n"/>
      <c r="B91" s="42" t="n"/>
      <c r="C91" s="42" t="n"/>
      <c r="D91" s="42" t="n"/>
      <c r="E91" s="42" t="n"/>
      <c r="F91" s="40" t="n"/>
      <c r="G91" s="13">
        <f>IF(F91="","",IFERROR(INDEX(Map!$B$2:$B$38,MATCH(F91,Map!$A$2:$A$38,0)),"UNKNOWN CODE"))</f>
        <v/>
      </c>
      <c r="H91" s="13">
        <f>IF(F91="","",F91&amp;"#"&amp;COUNTIF($F$6:F91,F91))</f>
        <v/>
      </c>
    </row>
    <row r="92">
      <c r="A92" s="40" t="n"/>
      <c r="B92" s="42" t="n"/>
      <c r="C92" s="42" t="n"/>
      <c r="D92" s="42" t="n"/>
      <c r="E92" s="42" t="n"/>
      <c r="F92" s="40" t="n"/>
      <c r="G92" s="13">
        <f>IF(F92="","",IFERROR(INDEX(Map!$B$2:$B$38,MATCH(F92,Map!$A$2:$A$38,0)),"UNKNOWN CODE"))</f>
        <v/>
      </c>
      <c r="H92" s="13">
        <f>IF(F92="","",F92&amp;"#"&amp;COUNTIF($F$6:F92,F92))</f>
        <v/>
      </c>
    </row>
    <row r="93">
      <c r="A93" s="40" t="n"/>
      <c r="B93" s="42" t="n"/>
      <c r="C93" s="42" t="n"/>
      <c r="D93" s="42" t="n"/>
      <c r="E93" s="42" t="n"/>
      <c r="F93" s="40" t="n"/>
      <c r="G93" s="13">
        <f>IF(F93="","",IFERROR(INDEX(Map!$B$2:$B$38,MATCH(F93,Map!$A$2:$A$38,0)),"UNKNOWN CODE"))</f>
        <v/>
      </c>
      <c r="H93" s="13">
        <f>IF(F93="","",F93&amp;"#"&amp;COUNTIF($F$6:F93,F93))</f>
        <v/>
      </c>
    </row>
    <row r="94">
      <c r="A94" s="40" t="n"/>
      <c r="B94" s="42" t="n"/>
      <c r="C94" s="42" t="n"/>
      <c r="D94" s="42" t="n"/>
      <c r="E94" s="42" t="n"/>
      <c r="F94" s="40" t="n"/>
      <c r="G94" s="13">
        <f>IF(F94="","",IFERROR(INDEX(Map!$B$2:$B$38,MATCH(F94,Map!$A$2:$A$38,0)),"UNKNOWN CODE"))</f>
        <v/>
      </c>
      <c r="H94" s="13">
        <f>IF(F94="","",F94&amp;"#"&amp;COUNTIF($F$6:F94,F94))</f>
        <v/>
      </c>
    </row>
    <row r="95">
      <c r="A95" s="40" t="n"/>
      <c r="B95" s="42" t="n"/>
      <c r="C95" s="42" t="n"/>
      <c r="D95" s="42" t="n"/>
      <c r="E95" s="42" t="n"/>
      <c r="F95" s="40" t="n"/>
      <c r="G95" s="13">
        <f>IF(F95="","",IFERROR(INDEX(Map!$B$2:$B$38,MATCH(F95,Map!$A$2:$A$38,0)),"UNKNOWN CODE"))</f>
        <v/>
      </c>
      <c r="H95" s="13">
        <f>IF(F95="","",F95&amp;"#"&amp;COUNTIF($F$6:F95,F95))</f>
        <v/>
      </c>
    </row>
    <row r="96">
      <c r="A96" s="40" t="n"/>
      <c r="B96" s="42" t="n"/>
      <c r="C96" s="42" t="n"/>
      <c r="D96" s="42" t="n"/>
      <c r="E96" s="42" t="n"/>
      <c r="F96" s="40" t="n"/>
      <c r="G96" s="13">
        <f>IF(F96="","",IFERROR(INDEX(Map!$B$2:$B$38,MATCH(F96,Map!$A$2:$A$38,0)),"UNKNOWN CODE"))</f>
        <v/>
      </c>
      <c r="H96" s="13">
        <f>IF(F96="","",F96&amp;"#"&amp;COUNTIF($F$6:F96,F96))</f>
        <v/>
      </c>
    </row>
    <row r="97">
      <c r="A97" s="40" t="n"/>
      <c r="B97" s="42" t="n"/>
      <c r="C97" s="42" t="n"/>
      <c r="D97" s="42" t="n"/>
      <c r="E97" s="42" t="n"/>
      <c r="F97" s="40" t="n"/>
      <c r="G97" s="13">
        <f>IF(F97="","",IFERROR(INDEX(Map!$B$2:$B$38,MATCH(F97,Map!$A$2:$A$38,0)),"UNKNOWN CODE"))</f>
        <v/>
      </c>
      <c r="H97" s="13">
        <f>IF(F97="","",F97&amp;"#"&amp;COUNTIF($F$6:F97,F97))</f>
        <v/>
      </c>
    </row>
    <row r="98">
      <c r="A98" s="40" t="n"/>
      <c r="B98" s="42" t="n"/>
      <c r="C98" s="42" t="n"/>
      <c r="D98" s="42" t="n"/>
      <c r="E98" s="42" t="n"/>
      <c r="F98" s="40" t="n"/>
      <c r="G98" s="13">
        <f>IF(F98="","",IFERROR(INDEX(Map!$B$2:$B$38,MATCH(F98,Map!$A$2:$A$38,0)),"UNKNOWN CODE"))</f>
        <v/>
      </c>
      <c r="H98" s="13">
        <f>IF(F98="","",F98&amp;"#"&amp;COUNTIF($F$6:F98,F98))</f>
        <v/>
      </c>
    </row>
    <row r="99">
      <c r="A99" s="40" t="n"/>
      <c r="B99" s="42" t="n"/>
      <c r="C99" s="42" t="n"/>
      <c r="D99" s="42" t="n"/>
      <c r="E99" s="42" t="n"/>
      <c r="F99" s="40" t="n"/>
      <c r="G99" s="13">
        <f>IF(F99="","",IFERROR(INDEX(Map!$B$2:$B$38,MATCH(F99,Map!$A$2:$A$38,0)),"UNKNOWN CODE"))</f>
        <v/>
      </c>
      <c r="H99" s="13">
        <f>IF(F99="","",F99&amp;"#"&amp;COUNTIF($F$6:F99,F99))</f>
        <v/>
      </c>
    </row>
    <row r="100">
      <c r="A100" s="40" t="n"/>
      <c r="B100" s="42" t="n"/>
      <c r="C100" s="42" t="n"/>
      <c r="D100" s="42" t="n"/>
      <c r="E100" s="42" t="n"/>
      <c r="F100" s="40" t="n"/>
      <c r="G100" s="13">
        <f>IF(F100="","",IFERROR(INDEX(Map!$B$2:$B$38,MATCH(F100,Map!$A$2:$A$38,0)),"UNKNOWN CODE"))</f>
        <v/>
      </c>
      <c r="H100" s="13">
        <f>IF(F100="","",F100&amp;"#"&amp;COUNTIF($F$6:F100,F100))</f>
        <v/>
      </c>
    </row>
    <row r="101">
      <c r="A101" s="40" t="n"/>
      <c r="B101" s="42" t="n"/>
      <c r="C101" s="42" t="n"/>
      <c r="D101" s="42" t="n"/>
      <c r="E101" s="42" t="n"/>
      <c r="F101" s="40" t="n"/>
      <c r="G101" s="13">
        <f>IF(F101="","",IFERROR(INDEX(Map!$B$2:$B$38,MATCH(F101,Map!$A$2:$A$38,0)),"UNKNOWN CODE"))</f>
        <v/>
      </c>
      <c r="H101" s="13">
        <f>IF(F101="","",F101&amp;"#"&amp;COUNTIF($F$6:F101,F101))</f>
        <v/>
      </c>
    </row>
    <row r="102">
      <c r="A102" s="40" t="n"/>
      <c r="B102" s="42" t="n"/>
      <c r="C102" s="42" t="n"/>
      <c r="D102" s="42" t="n"/>
      <c r="E102" s="42" t="n"/>
      <c r="F102" s="40" t="n"/>
      <c r="G102" s="13">
        <f>IF(F102="","",IFERROR(INDEX(Map!$B$2:$B$38,MATCH(F102,Map!$A$2:$A$38,0)),"UNKNOWN CODE"))</f>
        <v/>
      </c>
      <c r="H102" s="13">
        <f>IF(F102="","",F102&amp;"#"&amp;COUNTIF($F$6:F102,F102))</f>
        <v/>
      </c>
    </row>
    <row r="103">
      <c r="A103" s="40" t="n"/>
      <c r="B103" s="42" t="n"/>
      <c r="C103" s="42" t="n"/>
      <c r="D103" s="42" t="n"/>
      <c r="E103" s="42" t="n"/>
      <c r="F103" s="40" t="n"/>
      <c r="G103" s="13">
        <f>IF(F103="","",IFERROR(INDEX(Map!$B$2:$B$38,MATCH(F103,Map!$A$2:$A$38,0)),"UNKNOWN CODE"))</f>
        <v/>
      </c>
      <c r="H103" s="13">
        <f>IF(F103="","",F103&amp;"#"&amp;COUNTIF($F$6:F103,F103))</f>
        <v/>
      </c>
    </row>
    <row r="104">
      <c r="A104" s="40" t="n"/>
      <c r="B104" s="42" t="n"/>
      <c r="C104" s="42" t="n"/>
      <c r="D104" s="42" t="n"/>
      <c r="E104" s="42" t="n"/>
      <c r="F104" s="40" t="n"/>
      <c r="G104" s="13">
        <f>IF(F104="","",IFERROR(INDEX(Map!$B$2:$B$38,MATCH(F104,Map!$A$2:$A$38,0)),"UNKNOWN CODE"))</f>
        <v/>
      </c>
      <c r="H104" s="13">
        <f>IF(F104="","",F104&amp;"#"&amp;COUNTIF($F$6:F104,F104))</f>
        <v/>
      </c>
    </row>
    <row r="105">
      <c r="A105" s="40" t="n"/>
      <c r="B105" s="42" t="n"/>
      <c r="C105" s="42" t="n"/>
      <c r="D105" s="42" t="n"/>
      <c r="E105" s="42" t="n"/>
      <c r="F105" s="40" t="n"/>
      <c r="G105" s="13">
        <f>IF(F105="","",IFERROR(INDEX(Map!$B$2:$B$38,MATCH(F105,Map!$A$2:$A$38,0)),"UNKNOWN CODE"))</f>
        <v/>
      </c>
      <c r="H105" s="13">
        <f>IF(F105="","",F105&amp;"#"&amp;COUNTIF($F$6:F105,F105))</f>
        <v/>
      </c>
    </row>
    <row r="106">
      <c r="A106" s="40" t="n"/>
      <c r="B106" s="42" t="n"/>
      <c r="C106" s="42" t="n"/>
      <c r="D106" s="42" t="n"/>
      <c r="E106" s="42" t="n"/>
      <c r="F106" s="40" t="n"/>
      <c r="G106" s="13">
        <f>IF(F106="","",IFERROR(INDEX(Map!$B$2:$B$38,MATCH(F106,Map!$A$2:$A$38,0)),"UNKNOWN CODE"))</f>
        <v/>
      </c>
      <c r="H106" s="13">
        <f>IF(F106="","",F106&amp;"#"&amp;COUNTIF($F$6:F106,F106))</f>
        <v/>
      </c>
    </row>
    <row r="107">
      <c r="A107" s="40" t="n"/>
      <c r="B107" s="42" t="n"/>
      <c r="C107" s="42" t="n"/>
      <c r="D107" s="42" t="n"/>
      <c r="E107" s="42" t="n"/>
      <c r="F107" s="40" t="n"/>
      <c r="G107" s="13">
        <f>IF(F107="","",IFERROR(INDEX(Map!$B$2:$B$38,MATCH(F107,Map!$A$2:$A$38,0)),"UNKNOWN CODE"))</f>
        <v/>
      </c>
      <c r="H107" s="13">
        <f>IF(F107="","",F107&amp;"#"&amp;COUNTIF($F$6:F107,F107))</f>
        <v/>
      </c>
    </row>
    <row r="108">
      <c r="A108" s="40" t="n"/>
      <c r="B108" s="42" t="n"/>
      <c r="C108" s="42" t="n"/>
      <c r="D108" s="42" t="n"/>
      <c r="E108" s="42" t="n"/>
      <c r="F108" s="40" t="n"/>
      <c r="G108" s="13">
        <f>IF(F108="","",IFERROR(INDEX(Map!$B$2:$B$38,MATCH(F108,Map!$A$2:$A$38,0)),"UNKNOWN CODE"))</f>
        <v/>
      </c>
      <c r="H108" s="13">
        <f>IF(F108="","",F108&amp;"#"&amp;COUNTIF($F$6:F108,F108))</f>
        <v/>
      </c>
    </row>
    <row r="109">
      <c r="A109" s="40" t="n"/>
      <c r="B109" s="42" t="n"/>
      <c r="C109" s="42" t="n"/>
      <c r="D109" s="42" t="n"/>
      <c r="E109" s="42" t="n"/>
      <c r="F109" s="40" t="n"/>
      <c r="G109" s="13">
        <f>IF(F109="","",IFERROR(INDEX(Map!$B$2:$B$38,MATCH(F109,Map!$A$2:$A$38,0)),"UNKNOWN CODE"))</f>
        <v/>
      </c>
      <c r="H109" s="13">
        <f>IF(F109="","",F109&amp;"#"&amp;COUNTIF($F$6:F109,F109))</f>
        <v/>
      </c>
    </row>
    <row r="110">
      <c r="A110" s="40" t="n"/>
      <c r="B110" s="42" t="n"/>
      <c r="C110" s="42" t="n"/>
      <c r="D110" s="42" t="n"/>
      <c r="E110" s="42" t="n"/>
      <c r="F110" s="40" t="n"/>
      <c r="G110" s="13">
        <f>IF(F110="","",IFERROR(INDEX(Map!$B$2:$B$38,MATCH(F110,Map!$A$2:$A$38,0)),"UNKNOWN CODE"))</f>
        <v/>
      </c>
      <c r="H110" s="13">
        <f>IF(F110="","",F110&amp;"#"&amp;COUNTIF($F$6:F110,F110))</f>
        <v/>
      </c>
    </row>
    <row r="111">
      <c r="A111" s="40" t="n"/>
      <c r="B111" s="42" t="n"/>
      <c r="C111" s="42" t="n"/>
      <c r="D111" s="42" t="n"/>
      <c r="E111" s="42" t="n"/>
      <c r="F111" s="40" t="n"/>
      <c r="G111" s="13">
        <f>IF(F111="","",IFERROR(INDEX(Map!$B$2:$B$38,MATCH(F111,Map!$A$2:$A$38,0)),"UNKNOWN CODE"))</f>
        <v/>
      </c>
      <c r="H111" s="13">
        <f>IF(F111="","",F111&amp;"#"&amp;COUNTIF($F$6:F111,F111))</f>
        <v/>
      </c>
    </row>
    <row r="112">
      <c r="A112" s="40" t="n"/>
      <c r="B112" s="42" t="n"/>
      <c r="C112" s="42" t="n"/>
      <c r="D112" s="42" t="n"/>
      <c r="E112" s="42" t="n"/>
      <c r="F112" s="40" t="n"/>
      <c r="G112" s="13">
        <f>IF(F112="","",IFERROR(INDEX(Map!$B$2:$B$38,MATCH(F112,Map!$A$2:$A$38,0)),"UNKNOWN CODE"))</f>
        <v/>
      </c>
      <c r="H112" s="13">
        <f>IF(F112="","",F112&amp;"#"&amp;COUNTIF($F$6:F112,F112))</f>
        <v/>
      </c>
    </row>
    <row r="113">
      <c r="A113" s="40" t="n"/>
      <c r="B113" s="42" t="n"/>
      <c r="C113" s="42" t="n"/>
      <c r="D113" s="42" t="n"/>
      <c r="E113" s="42" t="n"/>
      <c r="F113" s="40" t="n"/>
      <c r="G113" s="13">
        <f>IF(F113="","",IFERROR(INDEX(Map!$B$2:$B$38,MATCH(F113,Map!$A$2:$A$38,0)),"UNKNOWN CODE"))</f>
        <v/>
      </c>
      <c r="H113" s="13">
        <f>IF(F113="","",F113&amp;"#"&amp;COUNTIF($F$6:F113,F113))</f>
        <v/>
      </c>
    </row>
    <row r="114">
      <c r="A114" s="40" t="n"/>
      <c r="B114" s="42" t="n"/>
      <c r="C114" s="42" t="n"/>
      <c r="D114" s="42" t="n"/>
      <c r="E114" s="42" t="n"/>
      <c r="F114" s="40" t="n"/>
      <c r="G114" s="13">
        <f>IF(F114="","",IFERROR(INDEX(Map!$B$2:$B$38,MATCH(F114,Map!$A$2:$A$38,0)),"UNKNOWN CODE"))</f>
        <v/>
      </c>
      <c r="H114" s="13">
        <f>IF(F114="","",F114&amp;"#"&amp;COUNTIF($F$6:F114,F114))</f>
        <v/>
      </c>
    </row>
    <row r="115">
      <c r="A115" s="40" t="n"/>
      <c r="B115" s="42" t="n"/>
      <c r="C115" s="42" t="n"/>
      <c r="D115" s="42" t="n"/>
      <c r="E115" s="42" t="n"/>
      <c r="F115" s="40" t="n"/>
      <c r="G115" s="13">
        <f>IF(F115="","",IFERROR(INDEX(Map!$B$2:$B$38,MATCH(F115,Map!$A$2:$A$38,0)),"UNKNOWN CODE"))</f>
        <v/>
      </c>
      <c r="H115" s="13">
        <f>IF(F115="","",F115&amp;"#"&amp;COUNTIF($F$6:F115,F115))</f>
        <v/>
      </c>
    </row>
    <row r="116">
      <c r="A116" s="40" t="n"/>
      <c r="B116" s="42" t="n"/>
      <c r="C116" s="42" t="n"/>
      <c r="D116" s="42" t="n"/>
      <c r="E116" s="42" t="n"/>
      <c r="F116" s="40" t="n"/>
      <c r="G116" s="13">
        <f>IF(F116="","",IFERROR(INDEX(Map!$B$2:$B$38,MATCH(F116,Map!$A$2:$A$38,0)),"UNKNOWN CODE"))</f>
        <v/>
      </c>
      <c r="H116" s="13">
        <f>IF(F116="","",F116&amp;"#"&amp;COUNTIF($F$6:F116,F116))</f>
        <v/>
      </c>
    </row>
    <row r="117">
      <c r="A117" s="40" t="n"/>
      <c r="B117" s="42" t="n"/>
      <c r="C117" s="42" t="n"/>
      <c r="D117" s="42" t="n"/>
      <c r="E117" s="42" t="n"/>
      <c r="F117" s="40" t="n"/>
      <c r="G117" s="13">
        <f>IF(F117="","",IFERROR(INDEX(Map!$B$2:$B$38,MATCH(F117,Map!$A$2:$A$38,0)),"UNKNOWN CODE"))</f>
        <v/>
      </c>
      <c r="H117" s="13">
        <f>IF(F117="","",F117&amp;"#"&amp;COUNTIF($F$6:F117,F117))</f>
        <v/>
      </c>
    </row>
    <row r="118">
      <c r="A118" s="40" t="n"/>
      <c r="B118" s="42" t="n"/>
      <c r="C118" s="42" t="n"/>
      <c r="D118" s="42" t="n"/>
      <c r="E118" s="42" t="n"/>
      <c r="F118" s="40" t="n"/>
      <c r="G118" s="13">
        <f>IF(F118="","",IFERROR(INDEX(Map!$B$2:$B$38,MATCH(F118,Map!$A$2:$A$38,0)),"UNKNOWN CODE"))</f>
        <v/>
      </c>
      <c r="H118" s="13">
        <f>IF(F118="","",F118&amp;"#"&amp;COUNTIF($F$6:F118,F118))</f>
        <v/>
      </c>
    </row>
    <row r="119">
      <c r="A119" s="40" t="n"/>
      <c r="B119" s="42" t="n"/>
      <c r="C119" s="42" t="n"/>
      <c r="D119" s="42" t="n"/>
      <c r="E119" s="42" t="n"/>
      <c r="F119" s="40" t="n"/>
      <c r="G119" s="13">
        <f>IF(F119="","",IFERROR(INDEX(Map!$B$2:$B$38,MATCH(F119,Map!$A$2:$A$38,0)),"UNKNOWN CODE"))</f>
        <v/>
      </c>
      <c r="H119" s="13">
        <f>IF(F119="","",F119&amp;"#"&amp;COUNTIF($F$6:F119,F119))</f>
        <v/>
      </c>
    </row>
    <row r="120">
      <c r="A120" s="40" t="n"/>
      <c r="B120" s="42" t="n"/>
      <c r="C120" s="42" t="n"/>
      <c r="D120" s="42" t="n"/>
      <c r="E120" s="42" t="n"/>
      <c r="F120" s="40" t="n"/>
      <c r="G120" s="13">
        <f>IF(F120="","",IFERROR(INDEX(Map!$B$2:$B$38,MATCH(F120,Map!$A$2:$A$38,0)),"UNKNOWN CODE"))</f>
        <v/>
      </c>
      <c r="H120" s="13">
        <f>IF(F120="","",F120&amp;"#"&amp;COUNTIF($F$6:F120,F120))</f>
        <v/>
      </c>
    </row>
    <row r="121">
      <c r="A121" s="40" t="n"/>
      <c r="B121" s="42" t="n"/>
      <c r="C121" s="42" t="n"/>
      <c r="D121" s="42" t="n"/>
      <c r="E121" s="42" t="n"/>
      <c r="F121" s="40" t="n"/>
      <c r="G121" s="13">
        <f>IF(F121="","",IFERROR(INDEX(Map!$B$2:$B$38,MATCH(F121,Map!$A$2:$A$38,0)),"UNKNOWN CODE"))</f>
        <v/>
      </c>
      <c r="H121" s="13">
        <f>IF(F121="","",F121&amp;"#"&amp;COUNTIF($F$6:F121,F121))</f>
        <v/>
      </c>
    </row>
    <row r="122">
      <c r="A122" s="40" t="n"/>
      <c r="B122" s="42" t="n"/>
      <c r="C122" s="42" t="n"/>
      <c r="D122" s="42" t="n"/>
      <c r="E122" s="42" t="n"/>
      <c r="F122" s="40" t="n"/>
      <c r="G122" s="13">
        <f>IF(F122="","",IFERROR(INDEX(Map!$B$2:$B$38,MATCH(F122,Map!$A$2:$A$38,0)),"UNKNOWN CODE"))</f>
        <v/>
      </c>
      <c r="H122" s="13">
        <f>IF(F122="","",F122&amp;"#"&amp;COUNTIF($F$6:F122,F122))</f>
        <v/>
      </c>
    </row>
    <row r="123">
      <c r="A123" s="40" t="n"/>
      <c r="B123" s="42" t="n"/>
      <c r="C123" s="42" t="n"/>
      <c r="D123" s="42" t="n"/>
      <c r="E123" s="42" t="n"/>
      <c r="F123" s="40" t="n"/>
      <c r="G123" s="13">
        <f>IF(F123="","",IFERROR(INDEX(Map!$B$2:$B$38,MATCH(F123,Map!$A$2:$A$38,0)),"UNKNOWN CODE"))</f>
        <v/>
      </c>
      <c r="H123" s="13">
        <f>IF(F123="","",F123&amp;"#"&amp;COUNTIF($F$6:F123,F123))</f>
        <v/>
      </c>
    </row>
    <row r="124">
      <c r="A124" s="40" t="n"/>
      <c r="B124" s="42" t="n"/>
      <c r="C124" s="42" t="n"/>
      <c r="D124" s="42" t="n"/>
      <c r="E124" s="42" t="n"/>
      <c r="F124" s="40" t="n"/>
      <c r="G124" s="13">
        <f>IF(F124="","",IFERROR(INDEX(Map!$B$2:$B$38,MATCH(F124,Map!$A$2:$A$38,0)),"UNKNOWN CODE"))</f>
        <v/>
      </c>
      <c r="H124" s="13">
        <f>IF(F124="","",F124&amp;"#"&amp;COUNTIF($F$6:F124,F124))</f>
        <v/>
      </c>
    </row>
    <row r="125">
      <c r="A125" s="40" t="n"/>
      <c r="B125" s="42" t="n"/>
      <c r="C125" s="42" t="n"/>
      <c r="D125" s="42" t="n"/>
      <c r="E125" s="42" t="n"/>
      <c r="F125" s="40" t="n"/>
      <c r="G125" s="13">
        <f>IF(F125="","",IFERROR(INDEX(Map!$B$2:$B$38,MATCH(F125,Map!$A$2:$A$38,0)),"UNKNOWN CODE"))</f>
        <v/>
      </c>
      <c r="H125" s="13">
        <f>IF(F125="","",F125&amp;"#"&amp;COUNTIF($F$6:F125,F125))</f>
        <v/>
      </c>
    </row>
    <row r="126">
      <c r="A126" s="40" t="n"/>
      <c r="B126" s="42" t="n"/>
      <c r="C126" s="42" t="n"/>
      <c r="D126" s="42" t="n"/>
      <c r="E126" s="42" t="n"/>
      <c r="F126" s="40" t="n"/>
      <c r="G126" s="13">
        <f>IF(F126="","",IFERROR(INDEX(Map!$B$2:$B$38,MATCH(F126,Map!$A$2:$A$38,0)),"UNKNOWN CODE"))</f>
        <v/>
      </c>
      <c r="H126" s="13">
        <f>IF(F126="","",F126&amp;"#"&amp;COUNTIF($F$6:F126,F126))</f>
        <v/>
      </c>
    </row>
    <row r="127">
      <c r="A127" s="40" t="n"/>
      <c r="B127" s="42" t="n"/>
      <c r="C127" s="42" t="n"/>
      <c r="D127" s="42" t="n"/>
      <c r="E127" s="42" t="n"/>
      <c r="F127" s="40" t="n"/>
      <c r="G127" s="13">
        <f>IF(F127="","",IFERROR(INDEX(Map!$B$2:$B$38,MATCH(F127,Map!$A$2:$A$38,0)),"UNKNOWN CODE"))</f>
        <v/>
      </c>
      <c r="H127" s="13">
        <f>IF(F127="","",F127&amp;"#"&amp;COUNTIF($F$6:F127,F127))</f>
        <v/>
      </c>
    </row>
    <row r="128">
      <c r="A128" s="40" t="n"/>
      <c r="B128" s="42" t="n"/>
      <c r="C128" s="42" t="n"/>
      <c r="D128" s="42" t="n"/>
      <c r="E128" s="42" t="n"/>
      <c r="F128" s="40" t="n"/>
      <c r="G128" s="13">
        <f>IF(F128="","",IFERROR(INDEX(Map!$B$2:$B$38,MATCH(F128,Map!$A$2:$A$38,0)),"UNKNOWN CODE"))</f>
        <v/>
      </c>
      <c r="H128" s="13">
        <f>IF(F128="","",F128&amp;"#"&amp;COUNTIF($F$6:F128,F128))</f>
        <v/>
      </c>
    </row>
    <row r="129">
      <c r="A129" s="40" t="n"/>
      <c r="B129" s="42" t="n"/>
      <c r="C129" s="42" t="n"/>
      <c r="D129" s="42" t="n"/>
      <c r="E129" s="42" t="n"/>
      <c r="F129" s="40" t="n"/>
      <c r="G129" s="13">
        <f>IF(F129="","",IFERROR(INDEX(Map!$B$2:$B$38,MATCH(F129,Map!$A$2:$A$38,0)),"UNKNOWN CODE"))</f>
        <v/>
      </c>
      <c r="H129" s="13">
        <f>IF(F129="","",F129&amp;"#"&amp;COUNTIF($F$6:F129,F129))</f>
        <v/>
      </c>
    </row>
    <row r="130">
      <c r="A130" s="40" t="n"/>
      <c r="B130" s="42" t="n"/>
      <c r="C130" s="42" t="n"/>
      <c r="D130" s="42" t="n"/>
      <c r="E130" s="42" t="n"/>
      <c r="F130" s="40" t="n"/>
      <c r="G130" s="13">
        <f>IF(F130="","",IFERROR(INDEX(Map!$B$2:$B$38,MATCH(F130,Map!$A$2:$A$38,0)),"UNKNOWN CODE"))</f>
        <v/>
      </c>
      <c r="H130" s="13">
        <f>IF(F130="","",F130&amp;"#"&amp;COUNTIF($F$6:F130,F130))</f>
        <v/>
      </c>
    </row>
    <row r="131">
      <c r="A131" s="40" t="n"/>
      <c r="B131" s="42" t="n"/>
      <c r="C131" s="42" t="n"/>
      <c r="D131" s="42" t="n"/>
      <c r="E131" s="42" t="n"/>
      <c r="F131" s="40" t="n"/>
      <c r="G131" s="13">
        <f>IF(F131="","",IFERROR(INDEX(Map!$B$2:$B$38,MATCH(F131,Map!$A$2:$A$38,0)),"UNKNOWN CODE"))</f>
        <v/>
      </c>
      <c r="H131" s="13">
        <f>IF(F131="","",F131&amp;"#"&amp;COUNTIF($F$6:F131,F131))</f>
        <v/>
      </c>
    </row>
    <row r="132">
      <c r="A132" s="40" t="n"/>
      <c r="B132" s="42" t="n"/>
      <c r="C132" s="42" t="n"/>
      <c r="D132" s="42" t="n"/>
      <c r="E132" s="42" t="n"/>
      <c r="F132" s="40" t="n"/>
      <c r="G132" s="13">
        <f>IF(F132="","",IFERROR(INDEX(Map!$B$2:$B$38,MATCH(F132,Map!$A$2:$A$38,0)),"UNKNOWN CODE"))</f>
        <v/>
      </c>
      <c r="H132" s="13">
        <f>IF(F132="","",F132&amp;"#"&amp;COUNTIF($F$6:F132,F132))</f>
        <v/>
      </c>
    </row>
    <row r="133">
      <c r="A133" s="40" t="n"/>
      <c r="B133" s="42" t="n"/>
      <c r="C133" s="42" t="n"/>
      <c r="D133" s="42" t="n"/>
      <c r="E133" s="42" t="n"/>
      <c r="F133" s="40" t="n"/>
      <c r="G133" s="13">
        <f>IF(F133="","",IFERROR(INDEX(Map!$B$2:$B$38,MATCH(F133,Map!$A$2:$A$38,0)),"UNKNOWN CODE"))</f>
        <v/>
      </c>
      <c r="H133" s="13">
        <f>IF(F133="","",F133&amp;"#"&amp;COUNTIF($F$6:F133,F133))</f>
        <v/>
      </c>
    </row>
    <row r="134">
      <c r="A134" s="40" t="n"/>
      <c r="B134" s="42" t="n"/>
      <c r="C134" s="42" t="n"/>
      <c r="D134" s="42" t="n"/>
      <c r="E134" s="42" t="n"/>
      <c r="F134" s="40" t="n"/>
      <c r="G134" s="13">
        <f>IF(F134="","",IFERROR(INDEX(Map!$B$2:$B$38,MATCH(F134,Map!$A$2:$A$38,0)),"UNKNOWN CODE"))</f>
        <v/>
      </c>
      <c r="H134" s="13">
        <f>IF(F134="","",F134&amp;"#"&amp;COUNTIF($F$6:F134,F134))</f>
        <v/>
      </c>
    </row>
    <row r="135">
      <c r="A135" s="40" t="n"/>
      <c r="B135" s="42" t="n"/>
      <c r="C135" s="42" t="n"/>
      <c r="D135" s="42" t="n"/>
      <c r="E135" s="42" t="n"/>
      <c r="F135" s="40" t="n"/>
      <c r="G135" s="13">
        <f>IF(F135="","",IFERROR(INDEX(Map!$B$2:$B$38,MATCH(F135,Map!$A$2:$A$38,0)),"UNKNOWN CODE"))</f>
        <v/>
      </c>
      <c r="H135" s="13">
        <f>IF(F135="","",F135&amp;"#"&amp;COUNTIF($F$6:F135,F135))</f>
        <v/>
      </c>
    </row>
    <row r="136">
      <c r="A136" s="40" t="n"/>
      <c r="B136" s="42" t="n"/>
      <c r="C136" s="42" t="n"/>
      <c r="D136" s="42" t="n"/>
      <c r="E136" s="42" t="n"/>
      <c r="F136" s="40" t="n"/>
      <c r="G136" s="13">
        <f>IF(F136="","",IFERROR(INDEX(Map!$B$2:$B$38,MATCH(F136,Map!$A$2:$A$38,0)),"UNKNOWN CODE"))</f>
        <v/>
      </c>
      <c r="H136" s="13">
        <f>IF(F136="","",F136&amp;"#"&amp;COUNTIF($F$6:F136,F136))</f>
        <v/>
      </c>
    </row>
    <row r="137">
      <c r="A137" s="40" t="n"/>
      <c r="B137" s="42" t="n"/>
      <c r="C137" s="42" t="n"/>
      <c r="D137" s="42" t="n"/>
      <c r="E137" s="42" t="n"/>
      <c r="F137" s="40" t="n"/>
      <c r="G137" s="13">
        <f>IF(F137="","",IFERROR(INDEX(Map!$B$2:$B$38,MATCH(F137,Map!$A$2:$A$38,0)),"UNKNOWN CODE"))</f>
        <v/>
      </c>
      <c r="H137" s="13">
        <f>IF(F137="","",F137&amp;"#"&amp;COUNTIF($F$6:F137,F137))</f>
        <v/>
      </c>
    </row>
    <row r="138">
      <c r="A138" s="40" t="n"/>
      <c r="B138" s="42" t="n"/>
      <c r="C138" s="42" t="n"/>
      <c r="D138" s="42" t="n"/>
      <c r="E138" s="42" t="n"/>
      <c r="F138" s="40" t="n"/>
      <c r="G138" s="13">
        <f>IF(F138="","",IFERROR(INDEX(Map!$B$2:$B$38,MATCH(F138,Map!$A$2:$A$38,0)),"UNKNOWN CODE"))</f>
        <v/>
      </c>
      <c r="H138" s="13">
        <f>IF(F138="","",F138&amp;"#"&amp;COUNTIF($F$6:F138,F138))</f>
        <v/>
      </c>
    </row>
    <row r="139">
      <c r="A139" s="40" t="n"/>
      <c r="B139" s="42" t="n"/>
      <c r="C139" s="42" t="n"/>
      <c r="D139" s="42" t="n"/>
      <c r="E139" s="42" t="n"/>
      <c r="F139" s="40" t="n"/>
      <c r="G139" s="13">
        <f>IF(F139="","",IFERROR(INDEX(Map!$B$2:$B$38,MATCH(F139,Map!$A$2:$A$38,0)),"UNKNOWN CODE"))</f>
        <v/>
      </c>
      <c r="H139" s="13">
        <f>IF(F139="","",F139&amp;"#"&amp;COUNTIF($F$6:F139,F139))</f>
        <v/>
      </c>
    </row>
    <row r="140">
      <c r="A140" s="40" t="n"/>
      <c r="B140" s="42" t="n"/>
      <c r="C140" s="42" t="n"/>
      <c r="D140" s="42" t="n"/>
      <c r="E140" s="42" t="n"/>
      <c r="F140" s="40" t="n"/>
      <c r="G140" s="13">
        <f>IF(F140="","",IFERROR(INDEX(Map!$B$2:$B$38,MATCH(F140,Map!$A$2:$A$38,0)),"UNKNOWN CODE"))</f>
        <v/>
      </c>
      <c r="H140" s="13">
        <f>IF(F140="","",F140&amp;"#"&amp;COUNTIF($F$6:F140,F140))</f>
        <v/>
      </c>
    </row>
    <row r="141">
      <c r="A141" s="40" t="n"/>
      <c r="B141" s="42" t="n"/>
      <c r="C141" s="42" t="n"/>
      <c r="D141" s="42" t="n"/>
      <c r="E141" s="42" t="n"/>
      <c r="F141" s="40" t="n"/>
      <c r="G141" s="13">
        <f>IF(F141="","",IFERROR(INDEX(Map!$B$2:$B$38,MATCH(F141,Map!$A$2:$A$38,0)),"UNKNOWN CODE"))</f>
        <v/>
      </c>
      <c r="H141" s="13">
        <f>IF(F141="","",F141&amp;"#"&amp;COUNTIF($F$6:F141,F141))</f>
        <v/>
      </c>
    </row>
    <row r="142">
      <c r="A142" s="40" t="n"/>
      <c r="B142" s="42" t="n"/>
      <c r="C142" s="42" t="n"/>
      <c r="D142" s="42" t="n"/>
      <c r="E142" s="42" t="n"/>
      <c r="F142" s="40" t="n"/>
      <c r="G142" s="13">
        <f>IF(F142="","",IFERROR(INDEX(Map!$B$2:$B$38,MATCH(F142,Map!$A$2:$A$38,0)),"UNKNOWN CODE"))</f>
        <v/>
      </c>
      <c r="H142" s="13">
        <f>IF(F142="","",F142&amp;"#"&amp;COUNTIF($F$6:F142,F142))</f>
        <v/>
      </c>
    </row>
    <row r="143">
      <c r="A143" s="40" t="n"/>
      <c r="B143" s="42" t="n"/>
      <c r="C143" s="42" t="n"/>
      <c r="D143" s="42" t="n"/>
      <c r="E143" s="42" t="n"/>
      <c r="F143" s="40" t="n"/>
      <c r="G143" s="13">
        <f>IF(F143="","",IFERROR(INDEX(Map!$B$2:$B$38,MATCH(F143,Map!$A$2:$A$38,0)),"UNKNOWN CODE"))</f>
        <v/>
      </c>
      <c r="H143" s="13">
        <f>IF(F143="","",F143&amp;"#"&amp;COUNTIF($F$6:F143,F143))</f>
        <v/>
      </c>
    </row>
    <row r="144">
      <c r="A144" s="40" t="n"/>
      <c r="B144" s="42" t="n"/>
      <c r="C144" s="42" t="n"/>
      <c r="D144" s="42" t="n"/>
      <c r="E144" s="42" t="n"/>
      <c r="F144" s="40" t="n"/>
      <c r="G144" s="13">
        <f>IF(F144="","",IFERROR(INDEX(Map!$B$2:$B$38,MATCH(F144,Map!$A$2:$A$38,0)),"UNKNOWN CODE"))</f>
        <v/>
      </c>
      <c r="H144" s="13">
        <f>IF(F144="","",F144&amp;"#"&amp;COUNTIF($F$6:F144,F144))</f>
        <v/>
      </c>
    </row>
    <row r="145">
      <c r="A145" s="40" t="n"/>
      <c r="B145" s="42" t="n"/>
      <c r="C145" s="42" t="n"/>
      <c r="D145" s="42" t="n"/>
      <c r="E145" s="42" t="n"/>
      <c r="F145" s="40" t="n"/>
      <c r="G145" s="13">
        <f>IF(F145="","",IFERROR(INDEX(Map!$B$2:$B$38,MATCH(F145,Map!$A$2:$A$38,0)),"UNKNOWN CODE"))</f>
        <v/>
      </c>
      <c r="H145" s="13">
        <f>IF(F145="","",F145&amp;"#"&amp;COUNTIF($F$6:F145,F145))</f>
        <v/>
      </c>
    </row>
    <row r="146">
      <c r="A146" s="40" t="n"/>
      <c r="B146" s="42" t="n"/>
      <c r="C146" s="42" t="n"/>
      <c r="D146" s="42" t="n"/>
      <c r="E146" s="42" t="n"/>
      <c r="F146" s="40" t="n"/>
      <c r="G146" s="13">
        <f>IF(F146="","",IFERROR(INDEX(Map!$B$2:$B$38,MATCH(F146,Map!$A$2:$A$38,0)),"UNKNOWN CODE"))</f>
        <v/>
      </c>
      <c r="H146" s="13">
        <f>IF(F146="","",F146&amp;"#"&amp;COUNTIF($F$6:F146,F146))</f>
        <v/>
      </c>
    </row>
    <row r="147">
      <c r="A147" s="40" t="n"/>
      <c r="B147" s="42" t="n"/>
      <c r="C147" s="42" t="n"/>
      <c r="D147" s="42" t="n"/>
      <c r="E147" s="42" t="n"/>
      <c r="F147" s="40" t="n"/>
      <c r="G147" s="13">
        <f>IF(F147="","",IFERROR(INDEX(Map!$B$2:$B$38,MATCH(F147,Map!$A$2:$A$38,0)),"UNKNOWN CODE"))</f>
        <v/>
      </c>
      <c r="H147" s="13">
        <f>IF(F147="","",F147&amp;"#"&amp;COUNTIF($F$6:F147,F147))</f>
        <v/>
      </c>
    </row>
    <row r="148">
      <c r="A148" s="40" t="n"/>
      <c r="B148" s="42" t="n"/>
      <c r="C148" s="42" t="n"/>
      <c r="D148" s="42" t="n"/>
      <c r="E148" s="42" t="n"/>
      <c r="F148" s="40" t="n"/>
      <c r="G148" s="13">
        <f>IF(F148="","",IFERROR(INDEX(Map!$B$2:$B$38,MATCH(F148,Map!$A$2:$A$38,0)),"UNKNOWN CODE"))</f>
        <v/>
      </c>
      <c r="H148" s="13">
        <f>IF(F148="","",F148&amp;"#"&amp;COUNTIF($F$6:F148,F148))</f>
        <v/>
      </c>
    </row>
    <row r="149">
      <c r="A149" s="40" t="n"/>
      <c r="B149" s="42" t="n"/>
      <c r="C149" s="42" t="n"/>
      <c r="D149" s="42" t="n"/>
      <c r="E149" s="42" t="n"/>
      <c r="F149" s="40" t="n"/>
      <c r="G149" s="13">
        <f>IF(F149="","",IFERROR(INDEX(Map!$B$2:$B$38,MATCH(F149,Map!$A$2:$A$38,0)),"UNKNOWN CODE"))</f>
        <v/>
      </c>
      <c r="H149" s="13">
        <f>IF(F149="","",F149&amp;"#"&amp;COUNTIF($F$6:F149,F149))</f>
        <v/>
      </c>
    </row>
    <row r="150">
      <c r="A150" s="40" t="n"/>
      <c r="B150" s="42" t="n"/>
      <c r="C150" s="42" t="n"/>
      <c r="D150" s="42" t="n"/>
      <c r="E150" s="42" t="n"/>
      <c r="F150" s="40" t="n"/>
      <c r="G150" s="13">
        <f>IF(F150="","",IFERROR(INDEX(Map!$B$2:$B$38,MATCH(F150,Map!$A$2:$A$38,0)),"UNKNOWN CODE"))</f>
        <v/>
      </c>
      <c r="H150" s="13">
        <f>IF(F150="","",F150&amp;"#"&amp;COUNTIF($F$6:F150,F150))</f>
        <v/>
      </c>
    </row>
    <row r="151">
      <c r="A151" s="40" t="n"/>
      <c r="B151" s="42" t="n"/>
      <c r="C151" s="42" t="n"/>
      <c r="D151" s="42" t="n"/>
      <c r="E151" s="42" t="n"/>
      <c r="F151" s="40" t="n"/>
      <c r="G151" s="13">
        <f>IF(F151="","",IFERROR(INDEX(Map!$B$2:$B$38,MATCH(F151,Map!$A$2:$A$38,0)),"UNKNOWN CODE"))</f>
        <v/>
      </c>
      <c r="H151" s="13">
        <f>IF(F151="","",F151&amp;"#"&amp;COUNTIF($F$6:F151,F151))</f>
        <v/>
      </c>
    </row>
    <row r="152">
      <c r="A152" s="40" t="n"/>
      <c r="B152" s="42" t="n"/>
      <c r="C152" s="42" t="n"/>
      <c r="D152" s="42" t="n"/>
      <c r="E152" s="42" t="n"/>
      <c r="F152" s="40" t="n"/>
      <c r="G152" s="13">
        <f>IF(F152="","",IFERROR(INDEX(Map!$B$2:$B$38,MATCH(F152,Map!$A$2:$A$38,0)),"UNKNOWN CODE"))</f>
        <v/>
      </c>
      <c r="H152" s="13">
        <f>IF(F152="","",F152&amp;"#"&amp;COUNTIF($F$6:F152,F152))</f>
        <v/>
      </c>
    </row>
    <row r="153">
      <c r="A153" s="40" t="n"/>
      <c r="B153" s="42" t="n"/>
      <c r="C153" s="42" t="n"/>
      <c r="D153" s="42" t="n"/>
      <c r="E153" s="42" t="n"/>
      <c r="F153" s="40" t="n"/>
      <c r="G153" s="13">
        <f>IF(F153="","",IFERROR(INDEX(Map!$B$2:$B$38,MATCH(F153,Map!$A$2:$A$38,0)),"UNKNOWN CODE"))</f>
        <v/>
      </c>
      <c r="H153" s="13">
        <f>IF(F153="","",F153&amp;"#"&amp;COUNTIF($F$6:F153,F153))</f>
        <v/>
      </c>
    </row>
    <row r="154">
      <c r="A154" s="40" t="n"/>
      <c r="B154" s="42" t="n"/>
      <c r="C154" s="42" t="n"/>
      <c r="D154" s="42" t="n"/>
      <c r="E154" s="42" t="n"/>
      <c r="F154" s="40" t="n"/>
      <c r="G154" s="13">
        <f>IF(F154="","",IFERROR(INDEX(Map!$B$2:$B$38,MATCH(F154,Map!$A$2:$A$38,0)),"UNKNOWN CODE"))</f>
        <v/>
      </c>
      <c r="H154" s="13">
        <f>IF(F154="","",F154&amp;"#"&amp;COUNTIF($F$6:F154,F154))</f>
        <v/>
      </c>
    </row>
    <row r="155">
      <c r="A155" s="40" t="n"/>
      <c r="B155" s="42" t="n"/>
      <c r="C155" s="42" t="n"/>
      <c r="D155" s="42" t="n"/>
      <c r="E155" s="42" t="n"/>
      <c r="F155" s="40" t="n"/>
      <c r="G155" s="13">
        <f>IF(F155="","",IFERROR(INDEX(Map!$B$2:$B$38,MATCH(F155,Map!$A$2:$A$38,0)),"UNKNOWN CODE"))</f>
        <v/>
      </c>
      <c r="H155" s="13">
        <f>IF(F155="","",F155&amp;"#"&amp;COUNTIF($F$6:F155,F155))</f>
        <v/>
      </c>
    </row>
    <row r="156">
      <c r="A156" s="40" t="n"/>
      <c r="B156" s="42" t="n"/>
      <c r="C156" s="42" t="n"/>
      <c r="D156" s="42" t="n"/>
      <c r="E156" s="42" t="n"/>
      <c r="F156" s="40" t="n"/>
      <c r="G156" s="13">
        <f>IF(F156="","",IFERROR(INDEX(Map!$B$2:$B$38,MATCH(F156,Map!$A$2:$A$38,0)),"UNKNOWN CODE"))</f>
        <v/>
      </c>
      <c r="H156" s="13">
        <f>IF(F156="","",F156&amp;"#"&amp;COUNTIF($F$6:F156,F156))</f>
        <v/>
      </c>
    </row>
    <row r="157">
      <c r="A157" s="40" t="n"/>
      <c r="B157" s="42" t="n"/>
      <c r="C157" s="42" t="n"/>
      <c r="D157" s="42" t="n"/>
      <c r="E157" s="42" t="n"/>
      <c r="F157" s="40" t="n"/>
      <c r="G157" s="13">
        <f>IF(F157="","",IFERROR(INDEX(Map!$B$2:$B$38,MATCH(F157,Map!$A$2:$A$38,0)),"UNKNOWN CODE"))</f>
        <v/>
      </c>
      <c r="H157" s="13">
        <f>IF(F157="","",F157&amp;"#"&amp;COUNTIF($F$6:F157,F157))</f>
        <v/>
      </c>
    </row>
    <row r="158">
      <c r="A158" s="40" t="n"/>
      <c r="B158" s="42" t="n"/>
      <c r="C158" s="42" t="n"/>
      <c r="D158" s="42" t="n"/>
      <c r="E158" s="42" t="n"/>
      <c r="F158" s="40" t="n"/>
      <c r="G158" s="13">
        <f>IF(F158="","",IFERROR(INDEX(Map!$B$2:$B$38,MATCH(F158,Map!$A$2:$A$38,0)),"UNKNOWN CODE"))</f>
        <v/>
      </c>
      <c r="H158" s="13">
        <f>IF(F158="","",F158&amp;"#"&amp;COUNTIF($F$6:F158,F158))</f>
        <v/>
      </c>
    </row>
    <row r="159">
      <c r="A159" s="40" t="n"/>
      <c r="B159" s="42" t="n"/>
      <c r="C159" s="42" t="n"/>
      <c r="D159" s="42" t="n"/>
      <c r="E159" s="42" t="n"/>
      <c r="F159" s="40" t="n"/>
      <c r="G159" s="13">
        <f>IF(F159="","",IFERROR(INDEX(Map!$B$2:$B$38,MATCH(F159,Map!$A$2:$A$38,0)),"UNKNOWN CODE"))</f>
        <v/>
      </c>
      <c r="H159" s="13">
        <f>IF(F159="","",F159&amp;"#"&amp;COUNTIF($F$6:F159,F159))</f>
        <v/>
      </c>
    </row>
    <row r="160">
      <c r="A160" s="40" t="n"/>
      <c r="B160" s="42" t="n"/>
      <c r="C160" s="42" t="n"/>
      <c r="D160" s="42" t="n"/>
      <c r="E160" s="42" t="n"/>
      <c r="F160" s="40" t="n"/>
      <c r="G160" s="13">
        <f>IF(F160="","",IFERROR(INDEX(Map!$B$2:$B$38,MATCH(F160,Map!$A$2:$A$38,0)),"UNKNOWN CODE"))</f>
        <v/>
      </c>
      <c r="H160" s="13">
        <f>IF(F160="","",F160&amp;"#"&amp;COUNTIF($F$6:F160,F160))</f>
        <v/>
      </c>
    </row>
    <row r="161">
      <c r="A161" s="40" t="n"/>
      <c r="B161" s="42" t="n"/>
      <c r="C161" s="42" t="n"/>
      <c r="D161" s="42" t="n"/>
      <c r="E161" s="42" t="n"/>
      <c r="F161" s="40" t="n"/>
      <c r="G161" s="13">
        <f>IF(F161="","",IFERROR(INDEX(Map!$B$2:$B$38,MATCH(F161,Map!$A$2:$A$38,0)),"UNKNOWN CODE"))</f>
        <v/>
      </c>
      <c r="H161" s="13">
        <f>IF(F161="","",F161&amp;"#"&amp;COUNTIF($F$6:F161,F161))</f>
        <v/>
      </c>
    </row>
    <row r="162">
      <c r="A162" s="40" t="n"/>
      <c r="B162" s="42" t="n"/>
      <c r="C162" s="42" t="n"/>
      <c r="D162" s="42" t="n"/>
      <c r="E162" s="42" t="n"/>
      <c r="F162" s="40" t="n"/>
      <c r="G162" s="13">
        <f>IF(F162="","",IFERROR(INDEX(Map!$B$2:$B$38,MATCH(F162,Map!$A$2:$A$38,0)),"UNKNOWN CODE"))</f>
        <v/>
      </c>
      <c r="H162" s="13">
        <f>IF(F162="","",F162&amp;"#"&amp;COUNTIF($F$6:F162,F162))</f>
        <v/>
      </c>
    </row>
    <row r="163">
      <c r="A163" s="40" t="n"/>
      <c r="B163" s="42" t="n"/>
      <c r="C163" s="42" t="n"/>
      <c r="D163" s="42" t="n"/>
      <c r="E163" s="42" t="n"/>
      <c r="F163" s="40" t="n"/>
      <c r="G163" s="13">
        <f>IF(F163="","",IFERROR(INDEX(Map!$B$2:$B$38,MATCH(F163,Map!$A$2:$A$38,0)),"UNKNOWN CODE"))</f>
        <v/>
      </c>
      <c r="H163" s="13">
        <f>IF(F163="","",F163&amp;"#"&amp;COUNTIF($F$6:F163,F163))</f>
        <v/>
      </c>
    </row>
    <row r="164">
      <c r="A164" s="40" t="n"/>
      <c r="B164" s="42" t="n"/>
      <c r="C164" s="42" t="n"/>
      <c r="D164" s="42" t="n"/>
      <c r="E164" s="42" t="n"/>
      <c r="F164" s="40" t="n"/>
      <c r="G164" s="13">
        <f>IF(F164="","",IFERROR(INDEX(Map!$B$2:$B$38,MATCH(F164,Map!$A$2:$A$38,0)),"UNKNOWN CODE"))</f>
        <v/>
      </c>
      <c r="H164" s="13">
        <f>IF(F164="","",F164&amp;"#"&amp;COUNTIF($F$6:F164,F164))</f>
        <v/>
      </c>
    </row>
    <row r="165">
      <c r="A165" s="40" t="n"/>
      <c r="B165" s="42" t="n"/>
      <c r="C165" s="42" t="n"/>
      <c r="D165" s="42" t="n"/>
      <c r="E165" s="42" t="n"/>
      <c r="F165" s="40" t="n"/>
      <c r="G165" s="13">
        <f>IF(F165="","",IFERROR(INDEX(Map!$B$2:$B$38,MATCH(F165,Map!$A$2:$A$38,0)),"UNKNOWN CODE"))</f>
        <v/>
      </c>
      <c r="H165" s="13">
        <f>IF(F165="","",F165&amp;"#"&amp;COUNTIF($F$6:F165,F165))</f>
        <v/>
      </c>
    </row>
    <row r="166">
      <c r="A166" s="40" t="n"/>
      <c r="B166" s="42" t="n"/>
      <c r="C166" s="42" t="n"/>
      <c r="D166" s="42" t="n"/>
      <c r="E166" s="42" t="n"/>
      <c r="F166" s="40" t="n"/>
      <c r="G166" s="13">
        <f>IF(F166="","",IFERROR(INDEX(Map!$B$2:$B$38,MATCH(F166,Map!$A$2:$A$38,0)),"UNKNOWN CODE"))</f>
        <v/>
      </c>
      <c r="H166" s="13">
        <f>IF(F166="","",F166&amp;"#"&amp;COUNTIF($F$6:F166,F166))</f>
        <v/>
      </c>
    </row>
    <row r="167">
      <c r="A167" s="40" t="n"/>
      <c r="B167" s="42" t="n"/>
      <c r="C167" s="42" t="n"/>
      <c r="D167" s="42" t="n"/>
      <c r="E167" s="42" t="n"/>
      <c r="F167" s="40" t="n"/>
      <c r="G167" s="13">
        <f>IF(F167="","",IFERROR(INDEX(Map!$B$2:$B$38,MATCH(F167,Map!$A$2:$A$38,0)),"UNKNOWN CODE"))</f>
        <v/>
      </c>
      <c r="H167" s="13">
        <f>IF(F167="","",F167&amp;"#"&amp;COUNTIF($F$6:F167,F167))</f>
        <v/>
      </c>
    </row>
    <row r="168">
      <c r="A168" s="40" t="n"/>
      <c r="B168" s="42" t="n"/>
      <c r="C168" s="42" t="n"/>
      <c r="D168" s="42" t="n"/>
      <c r="E168" s="42" t="n"/>
      <c r="F168" s="40" t="n"/>
      <c r="G168" s="13">
        <f>IF(F168="","",IFERROR(INDEX(Map!$B$2:$B$38,MATCH(F168,Map!$A$2:$A$38,0)),"UNKNOWN CODE"))</f>
        <v/>
      </c>
      <c r="H168" s="13">
        <f>IF(F168="","",F168&amp;"#"&amp;COUNTIF($F$6:F168,F168))</f>
        <v/>
      </c>
    </row>
    <row r="169">
      <c r="A169" s="40" t="n"/>
      <c r="B169" s="42" t="n"/>
      <c r="C169" s="42" t="n"/>
      <c r="D169" s="42" t="n"/>
      <c r="E169" s="42" t="n"/>
      <c r="F169" s="40" t="n"/>
      <c r="G169" s="13">
        <f>IF(F169="","",IFERROR(INDEX(Map!$B$2:$B$38,MATCH(F169,Map!$A$2:$A$38,0)),"UNKNOWN CODE"))</f>
        <v/>
      </c>
      <c r="H169" s="13">
        <f>IF(F169="","",F169&amp;"#"&amp;COUNTIF($F$6:F169,F169))</f>
        <v/>
      </c>
    </row>
    <row r="170">
      <c r="A170" s="40" t="n"/>
      <c r="B170" s="42" t="n"/>
      <c r="C170" s="42" t="n"/>
      <c r="D170" s="42" t="n"/>
      <c r="E170" s="42" t="n"/>
      <c r="F170" s="40" t="n"/>
      <c r="G170" s="13">
        <f>IF(F170="","",IFERROR(INDEX(Map!$B$2:$B$38,MATCH(F170,Map!$A$2:$A$38,0)),"UNKNOWN CODE"))</f>
        <v/>
      </c>
      <c r="H170" s="13">
        <f>IF(F170="","",F170&amp;"#"&amp;COUNTIF($F$6:F170,F170))</f>
        <v/>
      </c>
    </row>
    <row r="171">
      <c r="A171" s="40" t="n"/>
      <c r="B171" s="42" t="n"/>
      <c r="C171" s="42" t="n"/>
      <c r="D171" s="42" t="n"/>
      <c r="E171" s="42" t="n"/>
      <c r="F171" s="40" t="n"/>
      <c r="G171" s="13">
        <f>IF(F171="","",IFERROR(INDEX(Map!$B$2:$B$38,MATCH(F171,Map!$A$2:$A$38,0)),"UNKNOWN CODE"))</f>
        <v/>
      </c>
      <c r="H171" s="13">
        <f>IF(F171="","",F171&amp;"#"&amp;COUNTIF($F$6:F171,F171))</f>
        <v/>
      </c>
    </row>
    <row r="172">
      <c r="A172" s="40" t="n"/>
      <c r="B172" s="42" t="n"/>
      <c r="C172" s="42" t="n"/>
      <c r="D172" s="42" t="n"/>
      <c r="E172" s="42" t="n"/>
      <c r="F172" s="40" t="n"/>
      <c r="G172" s="13">
        <f>IF(F172="","",IFERROR(INDEX(Map!$B$2:$B$38,MATCH(F172,Map!$A$2:$A$38,0)),"UNKNOWN CODE"))</f>
        <v/>
      </c>
      <c r="H172" s="13">
        <f>IF(F172="","",F172&amp;"#"&amp;COUNTIF($F$6:F172,F172))</f>
        <v/>
      </c>
    </row>
    <row r="173">
      <c r="A173" s="40" t="n"/>
      <c r="B173" s="42" t="n"/>
      <c r="C173" s="42" t="n"/>
      <c r="D173" s="42" t="n"/>
      <c r="E173" s="42" t="n"/>
      <c r="F173" s="40" t="n"/>
      <c r="G173" s="13">
        <f>IF(F173="","",IFERROR(INDEX(Map!$B$2:$B$38,MATCH(F173,Map!$A$2:$A$38,0)),"UNKNOWN CODE"))</f>
        <v/>
      </c>
      <c r="H173" s="13">
        <f>IF(F173="","",F173&amp;"#"&amp;COUNTIF($F$6:F173,F173))</f>
        <v/>
      </c>
    </row>
    <row r="174">
      <c r="A174" s="40" t="n"/>
      <c r="B174" s="42" t="n"/>
      <c r="C174" s="42" t="n"/>
      <c r="D174" s="42" t="n"/>
      <c r="E174" s="42" t="n"/>
      <c r="F174" s="40" t="n"/>
      <c r="G174" s="13">
        <f>IF(F174="","",IFERROR(INDEX(Map!$B$2:$B$38,MATCH(F174,Map!$A$2:$A$38,0)),"UNKNOWN CODE"))</f>
        <v/>
      </c>
      <c r="H174" s="13">
        <f>IF(F174="","",F174&amp;"#"&amp;COUNTIF($F$6:F174,F174))</f>
        <v/>
      </c>
    </row>
    <row r="175">
      <c r="A175" s="40" t="n"/>
      <c r="B175" s="42" t="n"/>
      <c r="C175" s="42" t="n"/>
      <c r="D175" s="42" t="n"/>
      <c r="E175" s="42" t="n"/>
      <c r="F175" s="40" t="n"/>
      <c r="G175" s="13">
        <f>IF(F175="","",IFERROR(INDEX(Map!$B$2:$B$38,MATCH(F175,Map!$A$2:$A$38,0)),"UNKNOWN CODE"))</f>
        <v/>
      </c>
      <c r="H175" s="13">
        <f>IF(F175="","",F175&amp;"#"&amp;COUNTIF($F$6:F175,F175))</f>
        <v/>
      </c>
    </row>
    <row r="176">
      <c r="A176" s="40" t="n"/>
      <c r="B176" s="42" t="n"/>
      <c r="C176" s="42" t="n"/>
      <c r="D176" s="42" t="n"/>
      <c r="E176" s="42" t="n"/>
      <c r="F176" s="40" t="n"/>
      <c r="G176" s="13">
        <f>IF(F176="","",IFERROR(INDEX(Map!$B$2:$B$38,MATCH(F176,Map!$A$2:$A$38,0)),"UNKNOWN CODE"))</f>
        <v/>
      </c>
      <c r="H176" s="13">
        <f>IF(F176="","",F176&amp;"#"&amp;COUNTIF($F$6:F176,F176))</f>
        <v/>
      </c>
    </row>
    <row r="177">
      <c r="A177" s="40" t="n"/>
      <c r="B177" s="42" t="n"/>
      <c r="C177" s="42" t="n"/>
      <c r="D177" s="42" t="n"/>
      <c r="E177" s="42" t="n"/>
      <c r="F177" s="40" t="n"/>
      <c r="G177" s="13">
        <f>IF(F177="","",IFERROR(INDEX(Map!$B$2:$B$38,MATCH(F177,Map!$A$2:$A$38,0)),"UNKNOWN CODE"))</f>
        <v/>
      </c>
      <c r="H177" s="13">
        <f>IF(F177="","",F177&amp;"#"&amp;COUNTIF($F$6:F177,F177))</f>
        <v/>
      </c>
    </row>
    <row r="178">
      <c r="A178" s="40" t="n"/>
      <c r="B178" s="42" t="n"/>
      <c r="C178" s="42" t="n"/>
      <c r="D178" s="42" t="n"/>
      <c r="E178" s="42" t="n"/>
      <c r="F178" s="40" t="n"/>
      <c r="G178" s="13">
        <f>IF(F178="","",IFERROR(INDEX(Map!$B$2:$B$38,MATCH(F178,Map!$A$2:$A$38,0)),"UNKNOWN CODE"))</f>
        <v/>
      </c>
      <c r="H178" s="13">
        <f>IF(F178="","",F178&amp;"#"&amp;COUNTIF($F$6:F178,F178))</f>
        <v/>
      </c>
    </row>
    <row r="179">
      <c r="A179" s="40" t="n"/>
      <c r="B179" s="42" t="n"/>
      <c r="C179" s="42" t="n"/>
      <c r="D179" s="42" t="n"/>
      <c r="E179" s="42" t="n"/>
      <c r="F179" s="40" t="n"/>
      <c r="G179" s="13">
        <f>IF(F179="","",IFERROR(INDEX(Map!$B$2:$B$38,MATCH(F179,Map!$A$2:$A$38,0)),"UNKNOWN CODE"))</f>
        <v/>
      </c>
      <c r="H179" s="13">
        <f>IF(F179="","",F179&amp;"#"&amp;COUNTIF($F$6:F179,F179))</f>
        <v/>
      </c>
    </row>
    <row r="180">
      <c r="A180" s="40" t="n"/>
      <c r="B180" s="42" t="n"/>
      <c r="C180" s="42" t="n"/>
      <c r="D180" s="42" t="n"/>
      <c r="E180" s="42" t="n"/>
      <c r="F180" s="40" t="n"/>
      <c r="G180" s="13">
        <f>IF(F180="","",IFERROR(INDEX(Map!$B$2:$B$38,MATCH(F180,Map!$A$2:$A$38,0)),"UNKNOWN CODE"))</f>
        <v/>
      </c>
      <c r="H180" s="13">
        <f>IF(F180="","",F180&amp;"#"&amp;COUNTIF($F$6:F180,F180))</f>
        <v/>
      </c>
    </row>
    <row r="181">
      <c r="A181" s="40" t="n"/>
      <c r="B181" s="42" t="n"/>
      <c r="C181" s="42" t="n"/>
      <c r="D181" s="42" t="n"/>
      <c r="E181" s="42" t="n"/>
      <c r="F181" s="40" t="n"/>
      <c r="G181" s="13">
        <f>IF(F181="","",IFERROR(INDEX(Map!$B$2:$B$38,MATCH(F181,Map!$A$2:$A$38,0)),"UNKNOWN CODE"))</f>
        <v/>
      </c>
      <c r="H181" s="13">
        <f>IF(F181="","",F181&amp;"#"&amp;COUNTIF($F$6:F181,F181))</f>
        <v/>
      </c>
    </row>
    <row r="182">
      <c r="A182" s="40" t="n"/>
      <c r="B182" s="42" t="n"/>
      <c r="C182" s="42" t="n"/>
      <c r="D182" s="42" t="n"/>
      <c r="E182" s="42" t="n"/>
      <c r="F182" s="40" t="n"/>
      <c r="G182" s="13">
        <f>IF(F182="","",IFERROR(INDEX(Map!$B$2:$B$38,MATCH(F182,Map!$A$2:$A$38,0)),"UNKNOWN CODE"))</f>
        <v/>
      </c>
      <c r="H182" s="13">
        <f>IF(F182="","",F182&amp;"#"&amp;COUNTIF($F$6:F182,F182))</f>
        <v/>
      </c>
    </row>
    <row r="183">
      <c r="A183" s="40" t="n"/>
      <c r="B183" s="42" t="n"/>
      <c r="C183" s="42" t="n"/>
      <c r="D183" s="42" t="n"/>
      <c r="E183" s="42" t="n"/>
      <c r="F183" s="40" t="n"/>
      <c r="G183" s="13">
        <f>IF(F183="","",IFERROR(INDEX(Map!$B$2:$B$38,MATCH(F183,Map!$A$2:$A$38,0)),"UNKNOWN CODE"))</f>
        <v/>
      </c>
      <c r="H183" s="13">
        <f>IF(F183="","",F183&amp;"#"&amp;COUNTIF($F$6:F183,F183))</f>
        <v/>
      </c>
    </row>
    <row r="184">
      <c r="A184" s="40" t="n"/>
      <c r="B184" s="42" t="n"/>
      <c r="C184" s="42" t="n"/>
      <c r="D184" s="42" t="n"/>
      <c r="E184" s="42" t="n"/>
      <c r="F184" s="40" t="n"/>
      <c r="G184" s="13">
        <f>IF(F184="","",IFERROR(INDEX(Map!$B$2:$B$38,MATCH(F184,Map!$A$2:$A$38,0)),"UNKNOWN CODE"))</f>
        <v/>
      </c>
      <c r="H184" s="13">
        <f>IF(F184="","",F184&amp;"#"&amp;COUNTIF($F$6:F184,F184))</f>
        <v/>
      </c>
    </row>
    <row r="185">
      <c r="A185" s="40" t="n"/>
      <c r="B185" s="42" t="n"/>
      <c r="C185" s="42" t="n"/>
      <c r="D185" s="42" t="n"/>
      <c r="E185" s="42" t="n"/>
      <c r="F185" s="40" t="n"/>
      <c r="G185" s="13">
        <f>IF(F185="","",IFERROR(INDEX(Map!$B$2:$B$38,MATCH(F185,Map!$A$2:$A$38,0)),"UNKNOWN CODE"))</f>
        <v/>
      </c>
      <c r="H185" s="13">
        <f>IF(F185="","",F185&amp;"#"&amp;COUNTIF($F$6:F185,F185))</f>
        <v/>
      </c>
    </row>
    <row r="186">
      <c r="A186" s="40" t="n"/>
      <c r="B186" s="42" t="n"/>
      <c r="C186" s="42" t="n"/>
      <c r="D186" s="42" t="n"/>
      <c r="E186" s="42" t="n"/>
      <c r="F186" s="40" t="n"/>
      <c r="G186" s="13">
        <f>IF(F186="","",IFERROR(INDEX(Map!$B$2:$B$38,MATCH(F186,Map!$A$2:$A$38,0)),"UNKNOWN CODE"))</f>
        <v/>
      </c>
      <c r="H186" s="13">
        <f>IF(F186="","",F186&amp;"#"&amp;COUNTIF($F$6:F186,F186))</f>
        <v/>
      </c>
    </row>
    <row r="187">
      <c r="A187" s="40" t="n"/>
      <c r="B187" s="42" t="n"/>
      <c r="C187" s="42" t="n"/>
      <c r="D187" s="42" t="n"/>
      <c r="E187" s="42" t="n"/>
      <c r="F187" s="40" t="n"/>
      <c r="G187" s="13">
        <f>IF(F187="","",IFERROR(INDEX(Map!$B$2:$B$38,MATCH(F187,Map!$A$2:$A$38,0)),"UNKNOWN CODE"))</f>
        <v/>
      </c>
      <c r="H187" s="13">
        <f>IF(F187="","",F187&amp;"#"&amp;COUNTIF($F$6:F187,F187))</f>
        <v/>
      </c>
    </row>
    <row r="188">
      <c r="A188" s="40" t="n"/>
      <c r="B188" s="42" t="n"/>
      <c r="C188" s="42" t="n"/>
      <c r="D188" s="42" t="n"/>
      <c r="E188" s="42" t="n"/>
      <c r="F188" s="40" t="n"/>
      <c r="G188" s="13">
        <f>IF(F188="","",IFERROR(INDEX(Map!$B$2:$B$38,MATCH(F188,Map!$A$2:$A$38,0)),"UNKNOWN CODE"))</f>
        <v/>
      </c>
      <c r="H188" s="13">
        <f>IF(F188="","",F188&amp;"#"&amp;COUNTIF($F$6:F188,F188))</f>
        <v/>
      </c>
    </row>
    <row r="189">
      <c r="A189" s="40" t="n"/>
      <c r="B189" s="42" t="n"/>
      <c r="C189" s="42" t="n"/>
      <c r="D189" s="42" t="n"/>
      <c r="E189" s="42" t="n"/>
      <c r="F189" s="40" t="n"/>
      <c r="G189" s="13">
        <f>IF(F189="","",IFERROR(INDEX(Map!$B$2:$B$38,MATCH(F189,Map!$A$2:$A$38,0)),"UNKNOWN CODE"))</f>
        <v/>
      </c>
      <c r="H189" s="13">
        <f>IF(F189="","",F189&amp;"#"&amp;COUNTIF($F$6:F189,F189))</f>
        <v/>
      </c>
    </row>
    <row r="190">
      <c r="A190" s="40" t="n"/>
      <c r="B190" s="42" t="n"/>
      <c r="C190" s="42" t="n"/>
      <c r="D190" s="42" t="n"/>
      <c r="E190" s="42" t="n"/>
      <c r="F190" s="40" t="n"/>
      <c r="G190" s="13">
        <f>IF(F190="","",IFERROR(INDEX(Map!$B$2:$B$38,MATCH(F190,Map!$A$2:$A$38,0)),"UNKNOWN CODE"))</f>
        <v/>
      </c>
      <c r="H190" s="13">
        <f>IF(F190="","",F190&amp;"#"&amp;COUNTIF($F$6:F190,F190))</f>
        <v/>
      </c>
    </row>
    <row r="191">
      <c r="A191" s="40" t="n"/>
      <c r="B191" s="42" t="n"/>
      <c r="C191" s="42" t="n"/>
      <c r="D191" s="42" t="n"/>
      <c r="E191" s="42" t="n"/>
      <c r="F191" s="40" t="n"/>
      <c r="G191" s="13">
        <f>IF(F191="","",IFERROR(INDEX(Map!$B$2:$B$38,MATCH(F191,Map!$A$2:$A$38,0)),"UNKNOWN CODE"))</f>
        <v/>
      </c>
      <c r="H191" s="13">
        <f>IF(F191="","",F191&amp;"#"&amp;COUNTIF($F$6:F191,F191))</f>
        <v/>
      </c>
    </row>
    <row r="192">
      <c r="A192" s="40" t="n"/>
      <c r="B192" s="42" t="n"/>
      <c r="C192" s="42" t="n"/>
      <c r="D192" s="42" t="n"/>
      <c r="E192" s="42" t="n"/>
      <c r="F192" s="40" t="n"/>
      <c r="G192" s="13">
        <f>IF(F192="","",IFERROR(INDEX(Map!$B$2:$B$38,MATCH(F192,Map!$A$2:$A$38,0)),"UNKNOWN CODE"))</f>
        <v/>
      </c>
      <c r="H192" s="13">
        <f>IF(F192="","",F192&amp;"#"&amp;COUNTIF($F$6:F192,F192))</f>
        <v/>
      </c>
    </row>
    <row r="193">
      <c r="A193" s="40" t="n"/>
      <c r="B193" s="42" t="n"/>
      <c r="C193" s="42" t="n"/>
      <c r="D193" s="42" t="n"/>
      <c r="E193" s="42" t="n"/>
      <c r="F193" s="40" t="n"/>
      <c r="G193" s="13">
        <f>IF(F193="","",IFERROR(INDEX(Map!$B$2:$B$38,MATCH(F193,Map!$A$2:$A$38,0)),"UNKNOWN CODE"))</f>
        <v/>
      </c>
      <c r="H193" s="13">
        <f>IF(F193="","",F193&amp;"#"&amp;COUNTIF($F$6:F193,F193))</f>
        <v/>
      </c>
    </row>
    <row r="194">
      <c r="A194" s="40" t="n"/>
      <c r="B194" s="42" t="n"/>
      <c r="C194" s="42" t="n"/>
      <c r="D194" s="42" t="n"/>
      <c r="E194" s="42" t="n"/>
      <c r="F194" s="40" t="n"/>
      <c r="G194" s="13">
        <f>IF(F194="","",IFERROR(INDEX(Map!$B$2:$B$38,MATCH(F194,Map!$A$2:$A$38,0)),"UNKNOWN CODE"))</f>
        <v/>
      </c>
      <c r="H194" s="13">
        <f>IF(F194="","",F194&amp;"#"&amp;COUNTIF($F$6:F194,F194))</f>
        <v/>
      </c>
    </row>
    <row r="195">
      <c r="A195" s="40" t="n"/>
      <c r="B195" s="42" t="n"/>
      <c r="C195" s="42" t="n"/>
      <c r="D195" s="42" t="n"/>
      <c r="E195" s="42" t="n"/>
      <c r="F195" s="40" t="n"/>
      <c r="G195" s="13">
        <f>IF(F195="","",IFERROR(INDEX(Map!$B$2:$B$38,MATCH(F195,Map!$A$2:$A$38,0)),"UNKNOWN CODE"))</f>
        <v/>
      </c>
      <c r="H195" s="13">
        <f>IF(F195="","",F195&amp;"#"&amp;COUNTIF($F$6:F195,F195))</f>
        <v/>
      </c>
    </row>
    <row r="196">
      <c r="A196" s="40" t="n"/>
      <c r="B196" s="42" t="n"/>
      <c r="C196" s="42" t="n"/>
      <c r="D196" s="42" t="n"/>
      <c r="E196" s="42" t="n"/>
      <c r="F196" s="40" t="n"/>
      <c r="G196" s="13">
        <f>IF(F196="","",IFERROR(INDEX(Map!$B$2:$B$38,MATCH(F196,Map!$A$2:$A$38,0)),"UNKNOWN CODE"))</f>
        <v/>
      </c>
      <c r="H196" s="13">
        <f>IF(F196="","",F196&amp;"#"&amp;COUNTIF($F$6:F196,F196))</f>
        <v/>
      </c>
    </row>
    <row r="197">
      <c r="A197" s="40" t="n"/>
      <c r="B197" s="42" t="n"/>
      <c r="C197" s="42" t="n"/>
      <c r="D197" s="42" t="n"/>
      <c r="E197" s="42" t="n"/>
      <c r="F197" s="40" t="n"/>
      <c r="G197" s="13">
        <f>IF(F197="","",IFERROR(INDEX(Map!$B$2:$B$38,MATCH(F197,Map!$A$2:$A$38,0)),"UNKNOWN CODE"))</f>
        <v/>
      </c>
      <c r="H197" s="13">
        <f>IF(F197="","",F197&amp;"#"&amp;COUNTIF($F$6:F197,F197))</f>
        <v/>
      </c>
    </row>
    <row r="198">
      <c r="A198" s="40" t="n"/>
      <c r="B198" s="42" t="n"/>
      <c r="C198" s="42" t="n"/>
      <c r="D198" s="42" t="n"/>
      <c r="E198" s="42" t="n"/>
      <c r="F198" s="40" t="n"/>
      <c r="G198" s="13">
        <f>IF(F198="","",IFERROR(INDEX(Map!$B$2:$B$38,MATCH(F198,Map!$A$2:$A$38,0)),"UNKNOWN CODE"))</f>
        <v/>
      </c>
      <c r="H198" s="13">
        <f>IF(F198="","",F198&amp;"#"&amp;COUNTIF($F$6:F198,F198))</f>
        <v/>
      </c>
    </row>
    <row r="199">
      <c r="A199" s="40" t="n"/>
      <c r="B199" s="42" t="n"/>
      <c r="C199" s="42" t="n"/>
      <c r="D199" s="42" t="n"/>
      <c r="E199" s="42" t="n"/>
      <c r="F199" s="40" t="n"/>
      <c r="G199" s="13">
        <f>IF(F199="","",IFERROR(INDEX(Map!$B$2:$B$38,MATCH(F199,Map!$A$2:$A$38,0)),"UNKNOWN CODE"))</f>
        <v/>
      </c>
      <c r="H199" s="13">
        <f>IF(F199="","",F199&amp;"#"&amp;COUNTIF($F$6:F199,F199))</f>
        <v/>
      </c>
    </row>
    <row r="200">
      <c r="A200" s="40" t="n"/>
      <c r="B200" s="42" t="n"/>
      <c r="C200" s="42" t="n"/>
      <c r="D200" s="42" t="n"/>
      <c r="E200" s="42" t="n"/>
      <c r="F200" s="40" t="n"/>
      <c r="G200" s="13">
        <f>IF(F200="","",IFERROR(INDEX(Map!$B$2:$B$38,MATCH(F200,Map!$A$2:$A$38,0)),"UNKNOWN CODE"))</f>
        <v/>
      </c>
      <c r="H200" s="13">
        <f>IF(F200="","",F200&amp;"#"&amp;COUNTIF($F$6:F200,F200))</f>
        <v/>
      </c>
    </row>
    <row r="201">
      <c r="A201" s="40" t="n"/>
      <c r="B201" s="42" t="n"/>
      <c r="C201" s="42" t="n"/>
      <c r="D201" s="42" t="n"/>
      <c r="E201" s="42" t="n"/>
      <c r="F201" s="40" t="n"/>
      <c r="G201" s="13">
        <f>IF(F201="","",IFERROR(INDEX(Map!$B$2:$B$38,MATCH(F201,Map!$A$2:$A$38,0)),"UNKNOWN CODE"))</f>
        <v/>
      </c>
      <c r="H201" s="13">
        <f>IF(F201="","",F201&amp;"#"&amp;COUNTIF($F$6:F201,F201))</f>
        <v/>
      </c>
    </row>
    <row r="202">
      <c r="A202" s="40" t="n"/>
      <c r="B202" s="42" t="n"/>
      <c r="C202" s="42" t="n"/>
      <c r="D202" s="42" t="n"/>
      <c r="E202" s="42" t="n"/>
      <c r="F202" s="40" t="n"/>
      <c r="G202" s="13">
        <f>IF(F202="","",IFERROR(INDEX(Map!$B$2:$B$38,MATCH(F202,Map!$A$2:$A$38,0)),"UNKNOWN CODE"))</f>
        <v/>
      </c>
      <c r="H202" s="13">
        <f>IF(F202="","",F202&amp;"#"&amp;COUNTIF($F$6:F202,F202))</f>
        <v/>
      </c>
    </row>
    <row r="203">
      <c r="A203" s="40" t="n"/>
      <c r="B203" s="42" t="n"/>
      <c r="C203" s="42" t="n"/>
      <c r="D203" s="42" t="n"/>
      <c r="E203" s="42" t="n"/>
      <c r="F203" s="40" t="n"/>
      <c r="G203" s="13">
        <f>IF(F203="","",IFERROR(INDEX(Map!$B$2:$B$38,MATCH(F203,Map!$A$2:$A$38,0)),"UNKNOWN CODE"))</f>
        <v/>
      </c>
      <c r="H203" s="13">
        <f>IF(F203="","",F203&amp;"#"&amp;COUNTIF($F$6:F203,F203))</f>
        <v/>
      </c>
    </row>
    <row r="204">
      <c r="A204" s="40" t="n"/>
      <c r="B204" s="42" t="n"/>
      <c r="C204" s="42" t="n"/>
      <c r="D204" s="42" t="n"/>
      <c r="E204" s="42" t="n"/>
      <c r="F204" s="40" t="n"/>
      <c r="G204" s="13">
        <f>IF(F204="","",IFERROR(INDEX(Map!$B$2:$B$38,MATCH(F204,Map!$A$2:$A$38,0)),"UNKNOWN CODE"))</f>
        <v/>
      </c>
      <c r="H204" s="13">
        <f>IF(F204="","",F204&amp;"#"&amp;COUNTIF($F$6:F204,F204))</f>
        <v/>
      </c>
    </row>
    <row r="205">
      <c r="A205" s="40" t="n"/>
      <c r="B205" s="42" t="n"/>
      <c r="C205" s="42" t="n"/>
      <c r="D205" s="42" t="n"/>
      <c r="E205" s="42" t="n"/>
      <c r="F205" s="40" t="n"/>
      <c r="G205" s="13">
        <f>IF(F205="","",IFERROR(INDEX(Map!$B$2:$B$38,MATCH(F205,Map!$A$2:$A$38,0)),"UNKNOWN CODE"))</f>
        <v/>
      </c>
      <c r="H205" s="13">
        <f>IF(F205="","",F205&amp;"#"&amp;COUNTIF($F$6:F205,F205))</f>
        <v/>
      </c>
    </row>
    <row r="206">
      <c r="A206" s="40" t="n"/>
      <c r="B206" s="42" t="n"/>
      <c r="C206" s="42" t="n"/>
      <c r="D206" s="42" t="n"/>
      <c r="E206" s="42" t="n"/>
      <c r="F206" s="40" t="n"/>
      <c r="G206" s="13">
        <f>IF(F206="","",IFERROR(INDEX(Map!$B$2:$B$38,MATCH(F206,Map!$A$2:$A$38,0)),"UNKNOWN CODE"))</f>
        <v/>
      </c>
      <c r="H206" s="13">
        <f>IF(F206="","",F206&amp;"#"&amp;COUNTIF($F$6:F206,F206))</f>
        <v/>
      </c>
    </row>
    <row r="207">
      <c r="A207" s="40" t="n"/>
      <c r="B207" s="42" t="n"/>
      <c r="C207" s="42" t="n"/>
      <c r="D207" s="42" t="n"/>
      <c r="E207" s="42" t="n"/>
      <c r="F207" s="40" t="n"/>
      <c r="G207" s="13">
        <f>IF(F207="","",IFERROR(INDEX(Map!$B$2:$B$38,MATCH(F207,Map!$A$2:$A$38,0)),"UNKNOWN CODE"))</f>
        <v/>
      </c>
      <c r="H207" s="13">
        <f>IF(F207="","",F207&amp;"#"&amp;COUNTIF($F$6:F207,F207))</f>
        <v/>
      </c>
    </row>
    <row r="208">
      <c r="A208" s="40" t="n"/>
      <c r="B208" s="42" t="n"/>
      <c r="C208" s="42" t="n"/>
      <c r="D208" s="42" t="n"/>
      <c r="E208" s="42" t="n"/>
      <c r="F208" s="40" t="n"/>
      <c r="G208" s="13">
        <f>IF(F208="","",IFERROR(INDEX(Map!$B$2:$B$38,MATCH(F208,Map!$A$2:$A$38,0)),"UNKNOWN CODE"))</f>
        <v/>
      </c>
      <c r="H208" s="13">
        <f>IF(F208="","",F208&amp;"#"&amp;COUNTIF($F$6:F208,F208))</f>
        <v/>
      </c>
    </row>
    <row r="209">
      <c r="A209" s="40" t="n"/>
      <c r="B209" s="42" t="n"/>
      <c r="C209" s="42" t="n"/>
      <c r="D209" s="42" t="n"/>
      <c r="E209" s="42" t="n"/>
      <c r="F209" s="40" t="n"/>
      <c r="G209" s="13">
        <f>IF(F209="","",IFERROR(INDEX(Map!$B$2:$B$38,MATCH(F209,Map!$A$2:$A$38,0)),"UNKNOWN CODE"))</f>
        <v/>
      </c>
      <c r="H209" s="13">
        <f>IF(F209="","",F209&amp;"#"&amp;COUNTIF($F$6:F209,F209))</f>
        <v/>
      </c>
    </row>
    <row r="210">
      <c r="A210" s="40" t="n"/>
      <c r="B210" s="42" t="n"/>
      <c r="C210" s="42" t="n"/>
      <c r="D210" s="42" t="n"/>
      <c r="E210" s="42" t="n"/>
      <c r="F210" s="40" t="n"/>
      <c r="G210" s="13">
        <f>IF(F210="","",IFERROR(INDEX(Map!$B$2:$B$38,MATCH(F210,Map!$A$2:$A$38,0)),"UNKNOWN CODE"))</f>
        <v/>
      </c>
      <c r="H210" s="13">
        <f>IF(F210="","",F210&amp;"#"&amp;COUNTIF($F$6:F210,F210))</f>
        <v/>
      </c>
    </row>
    <row r="211">
      <c r="A211" s="40" t="n"/>
      <c r="B211" s="42" t="n"/>
      <c r="C211" s="42" t="n"/>
      <c r="D211" s="42" t="n"/>
      <c r="E211" s="42" t="n"/>
      <c r="F211" s="40" t="n"/>
      <c r="G211" s="13">
        <f>IF(F211="","",IFERROR(INDEX(Map!$B$2:$B$38,MATCH(F211,Map!$A$2:$A$38,0)),"UNKNOWN CODE"))</f>
        <v/>
      </c>
      <c r="H211" s="13">
        <f>IF(F211="","",F211&amp;"#"&amp;COUNTIF($F$6:F211,F211))</f>
        <v/>
      </c>
    </row>
    <row r="212">
      <c r="A212" s="40" t="n"/>
      <c r="B212" s="42" t="n"/>
      <c r="C212" s="42" t="n"/>
      <c r="D212" s="42" t="n"/>
      <c r="E212" s="42" t="n"/>
      <c r="F212" s="40" t="n"/>
      <c r="G212" s="13">
        <f>IF(F212="","",IFERROR(INDEX(Map!$B$2:$B$38,MATCH(F212,Map!$A$2:$A$38,0)),"UNKNOWN CODE"))</f>
        <v/>
      </c>
      <c r="H212" s="13">
        <f>IF(F212="","",F212&amp;"#"&amp;COUNTIF($F$6:F212,F212))</f>
        <v/>
      </c>
    </row>
    <row r="213">
      <c r="A213" s="40" t="n"/>
      <c r="B213" s="42" t="n"/>
      <c r="C213" s="42" t="n"/>
      <c r="D213" s="42" t="n"/>
      <c r="E213" s="42" t="n"/>
      <c r="F213" s="40" t="n"/>
      <c r="G213" s="13">
        <f>IF(F213="","",IFERROR(INDEX(Map!$B$2:$B$38,MATCH(F213,Map!$A$2:$A$38,0)),"UNKNOWN CODE"))</f>
        <v/>
      </c>
      <c r="H213" s="13">
        <f>IF(F213="","",F213&amp;"#"&amp;COUNTIF($F$6:F213,F213))</f>
        <v/>
      </c>
    </row>
    <row r="214">
      <c r="A214" s="40" t="n"/>
      <c r="B214" s="42" t="n"/>
      <c r="C214" s="42" t="n"/>
      <c r="D214" s="42" t="n"/>
      <c r="E214" s="42" t="n"/>
      <c r="F214" s="40" t="n"/>
      <c r="G214" s="13">
        <f>IF(F214="","",IFERROR(INDEX(Map!$B$2:$B$38,MATCH(F214,Map!$A$2:$A$38,0)),"UNKNOWN CODE"))</f>
        <v/>
      </c>
      <c r="H214" s="13">
        <f>IF(F214="","",F214&amp;"#"&amp;COUNTIF($F$6:F214,F214))</f>
        <v/>
      </c>
    </row>
    <row r="215">
      <c r="A215" s="40" t="n"/>
      <c r="B215" s="42" t="n"/>
      <c r="C215" s="42" t="n"/>
      <c r="D215" s="42" t="n"/>
      <c r="E215" s="42" t="n"/>
      <c r="F215" s="40" t="n"/>
      <c r="G215" s="13">
        <f>IF(F215="","",IFERROR(INDEX(Map!$B$2:$B$38,MATCH(F215,Map!$A$2:$A$38,0)),"UNKNOWN CODE"))</f>
        <v/>
      </c>
      <c r="H215" s="13">
        <f>IF(F215="","",F215&amp;"#"&amp;COUNTIF($F$6:F215,F215))</f>
        <v/>
      </c>
    </row>
    <row r="216">
      <c r="A216" s="40" t="n"/>
      <c r="B216" s="42" t="n"/>
      <c r="C216" s="42" t="n"/>
      <c r="D216" s="42" t="n"/>
      <c r="E216" s="42" t="n"/>
      <c r="F216" s="40" t="n"/>
      <c r="G216" s="13">
        <f>IF(F216="","",IFERROR(INDEX(Map!$B$2:$B$38,MATCH(F216,Map!$A$2:$A$38,0)),"UNKNOWN CODE"))</f>
        <v/>
      </c>
      <c r="H216" s="13">
        <f>IF(F216="","",F216&amp;"#"&amp;COUNTIF($F$6:F216,F216))</f>
        <v/>
      </c>
    </row>
    <row r="217">
      <c r="A217" s="40" t="n"/>
      <c r="B217" s="42" t="n"/>
      <c r="C217" s="42" t="n"/>
      <c r="D217" s="42" t="n"/>
      <c r="E217" s="42" t="n"/>
      <c r="F217" s="40" t="n"/>
      <c r="G217" s="13">
        <f>IF(F217="","",IFERROR(INDEX(Map!$B$2:$B$38,MATCH(F217,Map!$A$2:$A$38,0)),"UNKNOWN CODE"))</f>
        <v/>
      </c>
      <c r="H217" s="13">
        <f>IF(F217="","",F217&amp;"#"&amp;COUNTIF($F$6:F217,F217))</f>
        <v/>
      </c>
    </row>
    <row r="218">
      <c r="A218" s="40" t="n"/>
      <c r="B218" s="42" t="n"/>
      <c r="C218" s="42" t="n"/>
      <c r="D218" s="42" t="n"/>
      <c r="E218" s="42" t="n"/>
      <c r="F218" s="40" t="n"/>
      <c r="G218" s="13">
        <f>IF(F218="","",IFERROR(INDEX(Map!$B$2:$B$38,MATCH(F218,Map!$A$2:$A$38,0)),"UNKNOWN CODE"))</f>
        <v/>
      </c>
      <c r="H218" s="13">
        <f>IF(F218="","",F218&amp;"#"&amp;COUNTIF($F$6:F218,F218))</f>
        <v/>
      </c>
    </row>
    <row r="219">
      <c r="A219" s="40" t="n"/>
      <c r="B219" s="42" t="n"/>
      <c r="C219" s="42" t="n"/>
      <c r="D219" s="42" t="n"/>
      <c r="E219" s="42" t="n"/>
      <c r="F219" s="40" t="n"/>
      <c r="G219" s="13">
        <f>IF(F219="","",IFERROR(INDEX(Map!$B$2:$B$38,MATCH(F219,Map!$A$2:$A$38,0)),"UNKNOWN CODE"))</f>
        <v/>
      </c>
      <c r="H219" s="13">
        <f>IF(F219="","",F219&amp;"#"&amp;COUNTIF($F$6:F219,F219))</f>
        <v/>
      </c>
    </row>
    <row r="220">
      <c r="A220" s="40" t="n"/>
      <c r="B220" s="42" t="n"/>
      <c r="C220" s="42" t="n"/>
      <c r="D220" s="42" t="n"/>
      <c r="E220" s="42" t="n"/>
      <c r="F220" s="40" t="n"/>
      <c r="G220" s="13">
        <f>IF(F220="","",IFERROR(INDEX(Map!$B$2:$B$38,MATCH(F220,Map!$A$2:$A$38,0)),"UNKNOWN CODE"))</f>
        <v/>
      </c>
      <c r="H220" s="13">
        <f>IF(F220="","",F220&amp;"#"&amp;COUNTIF($F$6:F220,F220))</f>
        <v/>
      </c>
    </row>
    <row r="221">
      <c r="A221" s="40" t="n"/>
      <c r="B221" s="42" t="n"/>
      <c r="C221" s="42" t="n"/>
      <c r="D221" s="42" t="n"/>
      <c r="E221" s="42" t="n"/>
      <c r="F221" s="40" t="n"/>
      <c r="G221" s="13">
        <f>IF(F221="","",IFERROR(INDEX(Map!$B$2:$B$38,MATCH(F221,Map!$A$2:$A$38,0)),"UNKNOWN CODE"))</f>
        <v/>
      </c>
      <c r="H221" s="13">
        <f>IF(F221="","",F221&amp;"#"&amp;COUNTIF($F$6:F221,F221))</f>
        <v/>
      </c>
    </row>
    <row r="222">
      <c r="A222" s="40" t="n"/>
      <c r="B222" s="42" t="n"/>
      <c r="C222" s="42" t="n"/>
      <c r="D222" s="42" t="n"/>
      <c r="E222" s="42" t="n"/>
      <c r="F222" s="40" t="n"/>
      <c r="G222" s="13">
        <f>IF(F222="","",IFERROR(INDEX(Map!$B$2:$B$38,MATCH(F222,Map!$A$2:$A$38,0)),"UNKNOWN CODE"))</f>
        <v/>
      </c>
      <c r="H222" s="13">
        <f>IF(F222="","",F222&amp;"#"&amp;COUNTIF($F$6:F222,F222))</f>
        <v/>
      </c>
    </row>
    <row r="223">
      <c r="A223" s="40" t="n"/>
      <c r="B223" s="42" t="n"/>
      <c r="C223" s="42" t="n"/>
      <c r="D223" s="42" t="n"/>
      <c r="E223" s="42" t="n"/>
      <c r="F223" s="40" t="n"/>
      <c r="G223" s="13">
        <f>IF(F223="","",IFERROR(INDEX(Map!$B$2:$B$38,MATCH(F223,Map!$A$2:$A$38,0)),"UNKNOWN CODE"))</f>
        <v/>
      </c>
      <c r="H223" s="13">
        <f>IF(F223="","",F223&amp;"#"&amp;COUNTIF($F$6:F223,F223))</f>
        <v/>
      </c>
    </row>
    <row r="224">
      <c r="A224" s="40" t="n"/>
      <c r="B224" s="42" t="n"/>
      <c r="C224" s="42" t="n"/>
      <c r="D224" s="42" t="n"/>
      <c r="E224" s="42" t="n"/>
      <c r="F224" s="40" t="n"/>
      <c r="G224" s="13">
        <f>IF(F224="","",IFERROR(INDEX(Map!$B$2:$B$38,MATCH(F224,Map!$A$2:$A$38,0)),"UNKNOWN CODE"))</f>
        <v/>
      </c>
      <c r="H224" s="13">
        <f>IF(F224="","",F224&amp;"#"&amp;COUNTIF($F$6:F224,F224))</f>
        <v/>
      </c>
    </row>
    <row r="225">
      <c r="A225" s="40" t="n"/>
      <c r="B225" s="42" t="n"/>
      <c r="C225" s="42" t="n"/>
      <c r="D225" s="42" t="n"/>
      <c r="E225" s="42" t="n"/>
      <c r="F225" s="40" t="n"/>
      <c r="G225" s="13">
        <f>IF(F225="","",IFERROR(INDEX(Map!$B$2:$B$38,MATCH(F225,Map!$A$2:$A$38,0)),"UNKNOWN CODE"))</f>
        <v/>
      </c>
      <c r="H225" s="13">
        <f>IF(F225="","",F225&amp;"#"&amp;COUNTIF($F$6:F225,F225))</f>
        <v/>
      </c>
    </row>
    <row r="226">
      <c r="A226" s="14" t="inlineStr">
        <is>
          <t>Totals</t>
        </is>
      </c>
      <c r="B226" s="44">
        <f>SUM(B6:B225)</f>
        <v/>
      </c>
      <c r="C226" s="44">
        <f>SUM(C6:C225)</f>
        <v/>
      </c>
      <c r="D226" s="44">
        <f>SUM(D6:D225)</f>
        <v/>
      </c>
      <c r="E226" s="44">
        <f>SUM(E6:E225)</f>
        <v/>
      </c>
    </row>
    <row r="227">
      <c r="A227" s="14" t="inlineStr">
        <is>
          <t>Difference (must be zero)</t>
        </is>
      </c>
      <c r="B227" s="45">
        <f>B226-C226</f>
        <v/>
      </c>
      <c r="D227" s="45">
        <f>D226-E226</f>
        <v/>
      </c>
    </row>
    <row r="228">
      <c r="A228" s="14" t="inlineStr">
        <is>
          <t>Rows with amounts but no map code</t>
        </is>
      </c>
      <c r="B228" s="45">
        <f>SUMPRODUCT(((B6:B225&lt;&gt;0)+(C6:C225&lt;&gt;0)+(D6:D225&lt;&gt;0)+(E6:E225&lt;&gt;0)&gt;0)*(F6:F225=""))</f>
        <v/>
      </c>
    </row>
  </sheetData>
  <sheetProtection selectLockedCells="0" selectUnlockedCells="0" sheet="1" objects="0" insertRows="0" insertHyperlinks="1" autoFilter="0" scenarios="0" formatColumns="0" deleteColumns="1" insertColumns="1" pivotTables="1" deleteRows="0" formatCells="1" formatRows="0" sort="0" password="BBBC"/>
  <dataValidations count="1">
    <dataValidation sqref="F6:F225" showDropDown="0" showInputMessage="0" showErrorMessage="0" allowBlank="1" type="list">
      <formula1>=Map!$A$2:$A$38</formula1>
    </dataValidation>
  </dataValidations>
  <pageMargins left="0.75" right="0.75" top="1" bottom="1" header="0.5" footer="0.5"/>
</worksheet>
</file>

<file path=xl/worksheets/sheet5.xml><?xml version="1.0" encoding="utf-8"?>
<worksheet xmlns="http://schemas.openxmlformats.org/spreadsheetml/2006/main">
  <sheetPr>
    <tabColor rgb="00F97316"/>
    <outlinePr summaryBelow="1" summaryRight="1"/>
    <pageSetUpPr/>
  </sheetPr>
  <dimension ref="A1:E46"/>
  <sheetViews>
    <sheetView showGridLines="0" workbookViewId="0">
      <selection activeCell="A1" sqref="A1"/>
    </sheetView>
  </sheetViews>
  <sheetFormatPr baseColWidth="8" defaultRowHeight="15"/>
  <cols>
    <col width="3" customWidth="1" min="1" max="1"/>
    <col width="10" customWidth="1" min="2" max="2"/>
    <col width="44" customWidth="1" min="3" max="3"/>
    <col width="52" customWidth="1" min="4" max="4"/>
    <col width="30" customWidth="1" min="5" max="5"/>
  </cols>
  <sheetData>
    <row r="1"/>
    <row r="2">
      <c r="B2" s="3" t="inlineStr">
        <is>
          <t>Map codes - tagging guide</t>
        </is>
      </c>
    </row>
    <row r="3">
      <c r="B3" s="7" t="inlineStr">
        <is>
          <t>One TB row = one ledger. Pick the code that says WHERE the ledger belongs; the ledger name itself becomes the line inside the note. Paste debits in the Debit column and credits in the Credit column exactly as in your TB - no signs needed.</t>
        </is>
      </c>
    </row>
    <row r="4" ht="42" customHeight="1">
      <c r="B4" s="17" t="inlineStr">
        <is>
          <t>Golden rules: (1) tag every ledger separately - each one prints as its own note line; (2) map the FULL closing balance of term loans to LTB - the workbook moves the 12-month portion to Short-term borrowings itself; (3) RS is the OPENING surplus/reserves only - the year profit is added automatically; (4) CHGINV is opening minus closing stock of FG/WIP (credit balance when stock has grown).</t>
        </is>
      </c>
    </row>
    <row r="5"/>
    <row r="6">
      <c r="B6" s="12" t="inlineStr">
        <is>
          <t>Code</t>
        </is>
      </c>
      <c r="C6" s="12" t="inlineStr">
        <is>
          <t>Use it for</t>
        </is>
      </c>
      <c r="D6" s="12" t="inlineStr">
        <is>
          <t>Typical ledgers you would tag</t>
        </is>
      </c>
      <c r="E6" s="12" t="inlineStr">
        <is>
          <t>Lands on</t>
        </is>
      </c>
    </row>
    <row r="7">
      <c r="B7" s="5" t="inlineStr">
        <is>
          <t>EQUITY AND LIABILITIES</t>
        </is>
      </c>
    </row>
    <row r="8" ht="26" customHeight="1">
      <c r="B8" s="18" t="inlineStr">
        <is>
          <t>SC</t>
        </is>
      </c>
      <c r="C8" s="11" t="inlineStr">
        <is>
          <t>Share capital</t>
        </is>
      </c>
      <c r="D8" s="19" t="inlineStr">
        <is>
          <t>Equity share capital, preference share capital</t>
        </is>
      </c>
      <c r="E8" s="13" t="inlineStr">
        <is>
          <t>BS 1(a) - Note 2</t>
        </is>
      </c>
    </row>
    <row r="9" ht="26" customHeight="1">
      <c r="B9" s="18" t="inlineStr">
        <is>
          <t>RS</t>
        </is>
      </c>
      <c r="C9" s="11" t="inlineStr">
        <is>
          <t>Reserves and surplus - OPENING balances</t>
        </is>
      </c>
      <c r="D9" s="19" t="inlineStr">
        <is>
          <t>Surplus in P&amp;L (opening), general reserve, securities premium, capital reserve</t>
        </is>
      </c>
      <c r="E9" s="13" t="inlineStr">
        <is>
          <t>BS 1(b) - Note 3</t>
        </is>
      </c>
    </row>
    <row r="10" ht="26" customHeight="1">
      <c r="B10" s="18" t="inlineStr">
        <is>
          <t>LTB</t>
        </is>
      </c>
      <c r="C10" s="11" t="inlineStr">
        <is>
          <t>Long-term borrowings - FULL loan balances</t>
        </is>
      </c>
      <c r="D10" s="19" t="inlineStr">
        <is>
          <t>Term loans, vehicle loans, housing loans, unsecured/director loans (long term)</t>
        </is>
      </c>
      <c r="E10" s="13" t="inlineStr">
        <is>
          <t>BS 2(a) and 3(a) - Notes 4 and 8</t>
        </is>
      </c>
    </row>
    <row r="11" ht="26" customHeight="1">
      <c r="B11" s="18" t="inlineStr">
        <is>
          <t>DTL</t>
        </is>
      </c>
      <c r="C11" s="11" t="inlineStr">
        <is>
          <t>Deferred tax liability</t>
        </is>
      </c>
      <c r="D11" s="19" t="inlineStr">
        <is>
          <t>Deferred tax liability (net)</t>
        </is>
      </c>
      <c r="E11" s="13" t="inlineStr">
        <is>
          <t>BS 2(b) - Note 5</t>
        </is>
      </c>
    </row>
    <row r="12" ht="26" customHeight="1">
      <c r="B12" s="18" t="inlineStr">
        <is>
          <t>OLTL</t>
        </is>
      </c>
      <c r="C12" s="11" t="inlineStr">
        <is>
          <t>Other long-term liabilities</t>
        </is>
      </c>
      <c r="D12" s="19" t="inlineStr">
        <is>
          <t>Trade/security deposits received, long-term customer advances</t>
        </is>
      </c>
      <c r="E12" s="13" t="inlineStr">
        <is>
          <t>BS 2(c) - Note 6</t>
        </is>
      </c>
    </row>
    <row r="13" ht="26" customHeight="1">
      <c r="B13" s="18" t="inlineStr">
        <is>
          <t>LTPROV</t>
        </is>
      </c>
      <c r="C13" s="11" t="inlineStr">
        <is>
          <t>Long-term provisions</t>
        </is>
      </c>
      <c r="D13" s="19" t="inlineStr">
        <is>
          <t>Provision for gratuity / leave encashment (long-term portion)</t>
        </is>
      </c>
      <c r="E13" s="13" t="inlineStr">
        <is>
          <t>BS 2(d) - Note 7</t>
        </is>
      </c>
    </row>
    <row r="14" ht="26" customHeight="1">
      <c r="B14" s="18" t="inlineStr">
        <is>
          <t>STB</t>
        </is>
      </c>
      <c r="C14" s="11" t="inlineStr">
        <is>
          <t>Short-term borrowings (repayable on demand)</t>
        </is>
      </c>
      <c r="D14" s="19" t="inlineStr">
        <is>
          <t>Cash credit, overdraft, WCDL, short-term loans</t>
        </is>
      </c>
      <c r="E14" s="13" t="inlineStr">
        <is>
          <t>BS 3(a) - Note 8</t>
        </is>
      </c>
    </row>
    <row r="15" ht="26" customHeight="1">
      <c r="B15" s="18" t="inlineStr">
        <is>
          <t>TPMS</t>
        </is>
      </c>
      <c r="C15" s="11" t="inlineStr">
        <is>
          <t>Trade payables - micro and small (MSME)</t>
        </is>
      </c>
      <c r="D15" s="19" t="inlineStr">
        <is>
          <t>Creditors holding Udyam registration (micro/small)</t>
        </is>
      </c>
      <c r="E15" s="13" t="inlineStr">
        <is>
          <t>BS 3(b)(A) - Note 9</t>
        </is>
      </c>
    </row>
    <row r="16" ht="26" customHeight="1">
      <c r="B16" s="18" t="inlineStr">
        <is>
          <t>TPOTH</t>
        </is>
      </c>
      <c r="C16" s="11" t="inlineStr">
        <is>
          <t>Trade payables - others</t>
        </is>
      </c>
      <c r="D16" s="19" t="inlineStr">
        <is>
          <t>All other sundry creditors for goods and services</t>
        </is>
      </c>
      <c r="E16" s="13" t="inlineStr">
        <is>
          <t>BS 3(b)(B) - Note 9</t>
        </is>
      </c>
    </row>
    <row r="17" ht="26" customHeight="1">
      <c r="B17" s="18" t="inlineStr">
        <is>
          <t>OCL</t>
        </is>
      </c>
      <c r="C17" s="11" t="inlineStr">
        <is>
          <t>Other current liabilities</t>
        </is>
      </c>
      <c r="D17" s="19" t="inlineStr">
        <is>
          <t>GST/TDS/PF payable, expenses payable, advances from customers, interest accrued</t>
        </is>
      </c>
      <c r="E17" s="13" t="inlineStr">
        <is>
          <t>BS 3(c) - Note 10</t>
        </is>
      </c>
    </row>
    <row r="18" ht="26" customHeight="1">
      <c r="B18" s="18" t="inlineStr">
        <is>
          <t>STPROV</t>
        </is>
      </c>
      <c r="C18" s="11" t="inlineStr">
        <is>
          <t>Short-term provisions</t>
        </is>
      </c>
      <c r="D18" s="19" t="inlineStr">
        <is>
          <t>Provision for income tax, proposed dividend, short-term employee provisions</t>
        </is>
      </c>
      <c r="E18" s="13" t="inlineStr">
        <is>
          <t>BS 3(d) - Note 11</t>
        </is>
      </c>
    </row>
    <row r="19">
      <c r="B19" s="5" t="inlineStr">
        <is>
          <t>ASSETS</t>
        </is>
      </c>
    </row>
    <row r="20" ht="26" customHeight="1">
      <c r="B20" s="18" t="inlineStr">
        <is>
          <t>PPE</t>
        </is>
      </c>
      <c r="C20" s="11" t="inlineStr">
        <is>
          <t>Property, plant and equipment (net block)</t>
        </is>
      </c>
      <c r="D20" s="19" t="inlineStr">
        <is>
          <t>Buildings, plant and machinery, furniture, vehicles, computers - net of depreciation</t>
        </is>
      </c>
      <c r="E20" s="13" t="inlineStr">
        <is>
          <t>BS 1(a) - Note 12</t>
        </is>
      </c>
    </row>
    <row r="21" ht="26" customHeight="1">
      <c r="B21" s="18" t="inlineStr">
        <is>
          <t>INTAN</t>
        </is>
      </c>
      <c r="C21" s="11" t="inlineStr">
        <is>
          <t>Intangible assets (net)</t>
        </is>
      </c>
      <c r="D21" s="19" t="inlineStr">
        <is>
          <t>Software, patents, trademarks, goodwill - net of amortisation</t>
        </is>
      </c>
      <c r="E21" s="13" t="inlineStr">
        <is>
          <t>BS 1(b) - Note 12</t>
        </is>
      </c>
    </row>
    <row r="22" ht="26" customHeight="1">
      <c r="B22" s="18" t="inlineStr">
        <is>
          <t>CWIP</t>
        </is>
      </c>
      <c r="C22" s="11" t="inlineStr">
        <is>
          <t>Capital work-in-progress</t>
        </is>
      </c>
      <c r="D22" s="19" t="inlineStr">
        <is>
          <t>Building/plant under construction</t>
        </is>
      </c>
      <c r="E22" s="13" t="inlineStr">
        <is>
          <t>BS 1(c) - Note 12</t>
        </is>
      </c>
    </row>
    <row r="23" ht="26" customHeight="1">
      <c r="B23" s="18" t="inlineStr">
        <is>
          <t>IUD</t>
        </is>
      </c>
      <c r="C23" s="11" t="inlineStr">
        <is>
          <t>Intangibles under development</t>
        </is>
      </c>
      <c r="D23" s="19" t="inlineStr">
        <is>
          <t>Software under development</t>
        </is>
      </c>
      <c r="E23" s="13" t="inlineStr">
        <is>
          <t>BS 1(d) - Note 12</t>
        </is>
      </c>
    </row>
    <row r="24" ht="26" customHeight="1">
      <c r="B24" s="18" t="inlineStr">
        <is>
          <t>NCINV</t>
        </is>
      </c>
      <c r="C24" s="11" t="inlineStr">
        <is>
          <t>Non-current investments</t>
        </is>
      </c>
      <c r="D24" s="19" t="inlineStr">
        <is>
          <t>Shares, mutual funds, property held long term</t>
        </is>
      </c>
      <c r="E24" s="13" t="inlineStr">
        <is>
          <t>BS 1(e) - Note 13</t>
        </is>
      </c>
    </row>
    <row r="25" ht="26" customHeight="1">
      <c r="B25" s="18" t="inlineStr">
        <is>
          <t>DTA</t>
        </is>
      </c>
      <c r="C25" s="11" t="inlineStr">
        <is>
          <t>Deferred tax asset</t>
        </is>
      </c>
      <c r="D25" s="19" t="inlineStr">
        <is>
          <t>Deferred tax asset (net)</t>
        </is>
      </c>
      <c r="E25" s="13" t="inlineStr">
        <is>
          <t>BS 1(f) - Note 5</t>
        </is>
      </c>
    </row>
    <row r="26" ht="26" customHeight="1">
      <c r="B26" s="18" t="inlineStr">
        <is>
          <t>LTLA</t>
        </is>
      </c>
      <c r="C26" s="11" t="inlineStr">
        <is>
          <t>Long-term loans and advances</t>
        </is>
      </c>
      <c r="D26" s="19" t="inlineStr">
        <is>
          <t>Security deposits given, capital advances, long-term staff loans</t>
        </is>
      </c>
      <c r="E26" s="13" t="inlineStr">
        <is>
          <t>BS 1(g) - Note 14</t>
        </is>
      </c>
    </row>
    <row r="27" ht="26" customHeight="1">
      <c r="B27" s="18" t="inlineStr">
        <is>
          <t>ONCA</t>
        </is>
      </c>
      <c r="C27" s="11" t="inlineStr">
        <is>
          <t>Other non-current assets</t>
        </is>
      </c>
      <c r="D27" s="19" t="inlineStr">
        <is>
          <t>Long-term trade receivables, unamortised expenses</t>
        </is>
      </c>
      <c r="E27" s="13" t="inlineStr">
        <is>
          <t>BS 1(h) - Note 14</t>
        </is>
      </c>
    </row>
    <row r="28" ht="26" customHeight="1">
      <c r="B28" s="18" t="inlineStr">
        <is>
          <t>CINV</t>
        </is>
      </c>
      <c r="C28" s="11" t="inlineStr">
        <is>
          <t>Current investments</t>
        </is>
      </c>
      <c r="D28" s="19" t="inlineStr">
        <is>
          <t>Liquid/short-term mutual funds</t>
        </is>
      </c>
      <c r="E28" s="13" t="inlineStr">
        <is>
          <t>BS 2(a) - Note 13A</t>
        </is>
      </c>
    </row>
    <row r="29" ht="26" customHeight="1">
      <c r="B29" s="18" t="inlineStr">
        <is>
          <t>INVTY</t>
        </is>
      </c>
      <c r="C29" s="11" t="inlineStr">
        <is>
          <t>Inventories</t>
        </is>
      </c>
      <c r="D29" s="19" t="inlineStr">
        <is>
          <t>Raw materials, WIP, finished goods, stock-in-trade, stores and spares</t>
        </is>
      </c>
      <c r="E29" s="13" t="inlineStr">
        <is>
          <t>BS 2(b) - Note 15</t>
        </is>
      </c>
    </row>
    <row r="30" ht="26" customHeight="1">
      <c r="B30" s="18" t="inlineStr">
        <is>
          <t>TR</t>
        </is>
      </c>
      <c r="C30" s="11" t="inlineStr">
        <is>
          <t>Trade receivables</t>
        </is>
      </c>
      <c r="D30" s="19" t="inlineStr">
        <is>
          <t>Sundry debtors (fill the Ageing sheet too)</t>
        </is>
      </c>
      <c r="E30" s="13" t="inlineStr">
        <is>
          <t>BS 2(c) - Note 16</t>
        </is>
      </c>
    </row>
    <row r="31" ht="26" customHeight="1">
      <c r="B31" s="18" t="inlineStr">
        <is>
          <t>CASH</t>
        </is>
      </c>
      <c r="C31" s="11" t="inlineStr">
        <is>
          <t>Cash and cash equivalents</t>
        </is>
      </c>
      <c r="D31" s="19" t="inlineStr">
        <is>
          <t>Cash in hand, bank current accounts, deposits under 3 months</t>
        </is>
      </c>
      <c r="E31" s="13" t="inlineStr">
        <is>
          <t>BS 2(d) - Note 17</t>
        </is>
      </c>
    </row>
    <row r="32" ht="26" customHeight="1">
      <c r="B32" s="18" t="inlineStr">
        <is>
          <t>STLA</t>
        </is>
      </c>
      <c r="C32" s="11" t="inlineStr">
        <is>
          <t>Short-term loans and advances</t>
        </is>
      </c>
      <c r="D32" s="19" t="inlineStr">
        <is>
          <t>Advances to suppliers, staff advances, other short-term advances</t>
        </is>
      </c>
      <c r="E32" s="13" t="inlineStr">
        <is>
          <t>BS 2(e) - Note 14A</t>
        </is>
      </c>
    </row>
    <row r="33" ht="26" customHeight="1">
      <c r="B33" s="18" t="inlineStr">
        <is>
          <t>OCA</t>
        </is>
      </c>
      <c r="C33" s="11" t="inlineStr">
        <is>
          <t>Other current assets</t>
        </is>
      </c>
      <c r="D33" s="19" t="inlineStr">
        <is>
          <t>Prepaid expenses, accrued income, GST/income-tax refundable</t>
        </is>
      </c>
      <c r="E33" s="13" t="inlineStr">
        <is>
          <t>BS 2(f) - Note 14B</t>
        </is>
      </c>
    </row>
    <row r="34">
      <c r="B34" s="5" t="inlineStr">
        <is>
          <t>STATEMENT OF PROFIT AND LOSS</t>
        </is>
      </c>
    </row>
    <row r="35" ht="26" customHeight="1">
      <c r="B35" s="18" t="inlineStr">
        <is>
          <t>REV</t>
        </is>
      </c>
      <c r="C35" s="11" t="inlineStr">
        <is>
          <t>Revenue from operations</t>
        </is>
      </c>
      <c r="D35" s="19" t="inlineStr">
        <is>
          <t>Sales, service income, job-work income - each stream as its own ledger</t>
        </is>
      </c>
      <c r="E35" s="13" t="inlineStr">
        <is>
          <t>P&amp;L I - Note 18</t>
        </is>
      </c>
    </row>
    <row r="36" ht="26" customHeight="1">
      <c r="B36" s="18" t="inlineStr">
        <is>
          <t>OTHINC</t>
        </is>
      </c>
      <c r="C36" s="11" t="inlineStr">
        <is>
          <t>Other income</t>
        </is>
      </c>
      <c r="D36" s="19" t="inlineStr">
        <is>
          <t>Interest received, dividend, discount received, misc income</t>
        </is>
      </c>
      <c r="E36" s="13" t="inlineStr">
        <is>
          <t>P&amp;L II - Note 19</t>
        </is>
      </c>
    </row>
    <row r="37" ht="26" customHeight="1">
      <c r="B37" s="18" t="inlineStr">
        <is>
          <t>MATCONS</t>
        </is>
      </c>
      <c r="C37" s="11" t="inlineStr">
        <is>
          <t>Cost of materials consumed</t>
        </is>
      </c>
      <c r="D37" s="19" t="inlineStr">
        <is>
          <t>Raw material consumed (derivation grid in Note 20)</t>
        </is>
      </c>
      <c r="E37" s="13" t="inlineStr">
        <is>
          <t>P&amp;L IV - Note 20</t>
        </is>
      </c>
    </row>
    <row r="38" ht="26" customHeight="1">
      <c r="B38" s="18" t="inlineStr">
        <is>
          <t>PURST</t>
        </is>
      </c>
      <c r="C38" s="11" t="inlineStr">
        <is>
          <t>Purchases of stock-in-trade</t>
        </is>
      </c>
      <c r="D38" s="19" t="inlineStr">
        <is>
          <t>Purchases for resale (trading goods)</t>
        </is>
      </c>
      <c r="E38" s="13" t="inlineStr">
        <is>
          <t>P&amp;L IV</t>
        </is>
      </c>
    </row>
    <row r="39" ht="26" customHeight="1">
      <c r="B39" s="18" t="inlineStr">
        <is>
          <t>CHGINV</t>
        </is>
      </c>
      <c r="C39" s="11" t="inlineStr">
        <is>
          <t>Changes in inventories</t>
        </is>
      </c>
      <c r="D39" s="19" t="inlineStr">
        <is>
          <t>Opening minus closing stock of FG/WIP/stock-in-trade</t>
        </is>
      </c>
      <c r="E39" s="13" t="inlineStr">
        <is>
          <t>P&amp;L IV</t>
        </is>
      </c>
    </row>
    <row r="40" ht="26" customHeight="1">
      <c r="B40" s="18" t="inlineStr">
        <is>
          <t>EMPB</t>
        </is>
      </c>
      <c r="C40" s="11" t="inlineStr">
        <is>
          <t>Employee benefits expense</t>
        </is>
      </c>
      <c r="D40" s="19" t="inlineStr">
        <is>
          <t>Salaries and wages, bonus, PF/ESI contribution, staff welfare, gratuity</t>
        </is>
      </c>
      <c r="E40" s="13" t="inlineStr">
        <is>
          <t>P&amp;L IV - Note 21</t>
        </is>
      </c>
    </row>
    <row r="41" ht="26" customHeight="1">
      <c r="B41" s="18" t="inlineStr">
        <is>
          <t>FINC</t>
        </is>
      </c>
      <c r="C41" s="11" t="inlineStr">
        <is>
          <t>Finance costs</t>
        </is>
      </c>
      <c r="D41" s="19" t="inlineStr">
        <is>
          <t>Interest on term loans/CC, loan processing fees, interest on statutory delays</t>
        </is>
      </c>
      <c r="E41" s="13" t="inlineStr">
        <is>
          <t>P&amp;L IV - Note 22</t>
        </is>
      </c>
    </row>
    <row r="42" ht="26" customHeight="1">
      <c r="B42" s="18" t="inlineStr">
        <is>
          <t>DEPAM</t>
        </is>
      </c>
      <c r="C42" s="11" t="inlineStr">
        <is>
          <t>Depreciation and amortisation</t>
        </is>
      </c>
      <c r="D42" s="19" t="inlineStr">
        <is>
          <t>Depreciation, amortisation of software</t>
        </is>
      </c>
      <c r="E42" s="13" t="inlineStr">
        <is>
          <t>P&amp;L IV - Note 12</t>
        </is>
      </c>
    </row>
    <row r="43" ht="26" customHeight="1">
      <c r="B43" s="18" t="inlineStr">
        <is>
          <t>OTHEXP</t>
        </is>
      </c>
      <c r="C43" s="11" t="inlineStr">
        <is>
          <t>Other expenses</t>
        </is>
      </c>
      <c r="D43" s="19" t="inlineStr">
        <is>
          <t>Rent, audit fee, consulting charges, ROC fees, pooja expenses, business promotion, travel, repairs, insurance, power, bank charges - EACH as its own ledger row</t>
        </is>
      </c>
      <c r="E43" s="13" t="inlineStr">
        <is>
          <t>P&amp;L IV - Note 23</t>
        </is>
      </c>
    </row>
    <row r="44" ht="26" customHeight="1">
      <c r="B44" s="18" t="inlineStr">
        <is>
          <t>EXCPI</t>
        </is>
      </c>
      <c r="C44" s="11" t="inlineStr">
        <is>
          <t>Exceptional items</t>
        </is>
      </c>
      <c r="D44" s="19" t="inlineStr">
        <is>
          <t>One-off losses/(gains) - expense positive</t>
        </is>
      </c>
      <c r="E44" s="13" t="inlineStr">
        <is>
          <t>P&amp;L VI</t>
        </is>
      </c>
    </row>
    <row r="45" ht="26" customHeight="1">
      <c r="B45" s="18" t="inlineStr">
        <is>
          <t>TAXCUR</t>
        </is>
      </c>
      <c r="C45" s="11" t="inlineStr">
        <is>
          <t>Current tax</t>
        </is>
      </c>
      <c r="D45" s="19" t="inlineStr">
        <is>
          <t>Provision for income tax of the year</t>
        </is>
      </c>
      <c r="E45" s="13" t="inlineStr">
        <is>
          <t>P&amp;L VIII(1)</t>
        </is>
      </c>
    </row>
    <row r="46" ht="26" customHeight="1">
      <c r="B46" s="18" t="inlineStr">
        <is>
          <t>TAXDEF</t>
        </is>
      </c>
      <c r="C46" s="11" t="inlineStr">
        <is>
          <t>Deferred tax</t>
        </is>
      </c>
      <c r="D46" s="19" t="inlineStr">
        <is>
          <t>Deferred tax charge (or credit as a Cr entry)</t>
        </is>
      </c>
      <c r="E46" s="13" t="inlineStr">
        <is>
          <t>P&amp;L VIII(2)</t>
        </is>
      </c>
    </row>
  </sheetData>
  <sheetProtection selectLockedCells="0" selectUnlockedCells="0" sheet="1" objects="0" insertRows="0" insertHyperlinks="1" autoFilter="0" scenarios="0" formatColumns="0" deleteColumns="1" insertColumns="1" pivotTables="1" deleteRows="0" formatCells="1" formatRows="0" sort="0" password="BBBC"/>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6"/>
  <sheetViews>
    <sheetView showGridLines="0" workbookViewId="0">
      <selection activeCell="A1" sqref="A1"/>
    </sheetView>
  </sheetViews>
  <sheetFormatPr baseColWidth="8" defaultRowHeight="15"/>
  <sheetData>
    <row r="1">
      <c r="A1" t="inlineStr">
        <is>
          <t>code</t>
        </is>
      </c>
      <c r="B1" t="inlineStr">
        <is>
          <t>CY netDr</t>
        </is>
      </c>
      <c r="C1" t="inlineStr">
        <is>
          <t>PY netDr</t>
        </is>
      </c>
    </row>
    <row r="2">
      <c r="A2" t="inlineStr">
        <is>
          <t>SC</t>
        </is>
      </c>
      <c r="B2">
        <f>SUMIF(TB!$F$6:$F$225,A2,TB!$B$6:$B$225)-SUMIF(TB!$F$6:$F$225,A2,TB!$C$6:$C$225)</f>
        <v/>
      </c>
      <c r="C2">
        <f>SUMIF(TB!$F$6:$F$225,A2,TB!$D$6:$D$225)-SUMIF(TB!$F$6:$F$225,A2,TB!$E$6:$E$225)</f>
        <v/>
      </c>
    </row>
    <row r="3">
      <c r="A3" t="inlineStr">
        <is>
          <t>RS</t>
        </is>
      </c>
      <c r="B3">
        <f>SUMIF(TB!$F$6:$F$225,A3,TB!$B$6:$B$225)-SUMIF(TB!$F$6:$F$225,A3,TB!$C$6:$C$225)</f>
        <v/>
      </c>
      <c r="C3">
        <f>SUMIF(TB!$F$6:$F$225,A3,TB!$D$6:$D$225)-SUMIF(TB!$F$6:$F$225,A3,TB!$E$6:$E$225)</f>
        <v/>
      </c>
    </row>
    <row r="4">
      <c r="A4" t="inlineStr">
        <is>
          <t>LTB</t>
        </is>
      </c>
      <c r="B4">
        <f>SUMIF(TB!$F$6:$F$225,A4,TB!$B$6:$B$225)-SUMIF(TB!$F$6:$F$225,A4,TB!$C$6:$C$225)</f>
        <v/>
      </c>
      <c r="C4">
        <f>SUMIF(TB!$F$6:$F$225,A4,TB!$D$6:$D$225)-SUMIF(TB!$F$6:$F$225,A4,TB!$E$6:$E$225)</f>
        <v/>
      </c>
    </row>
    <row r="5">
      <c r="A5" t="inlineStr">
        <is>
          <t>DTL</t>
        </is>
      </c>
      <c r="B5">
        <f>SUMIF(TB!$F$6:$F$225,A5,TB!$B$6:$B$225)-SUMIF(TB!$F$6:$F$225,A5,TB!$C$6:$C$225)</f>
        <v/>
      </c>
      <c r="C5">
        <f>SUMIF(TB!$F$6:$F$225,A5,TB!$D$6:$D$225)-SUMIF(TB!$F$6:$F$225,A5,TB!$E$6:$E$225)</f>
        <v/>
      </c>
    </row>
    <row r="6">
      <c r="A6" t="inlineStr">
        <is>
          <t>OLTL</t>
        </is>
      </c>
      <c r="B6">
        <f>SUMIF(TB!$F$6:$F$225,A6,TB!$B$6:$B$225)-SUMIF(TB!$F$6:$F$225,A6,TB!$C$6:$C$225)</f>
        <v/>
      </c>
      <c r="C6">
        <f>SUMIF(TB!$F$6:$F$225,A6,TB!$D$6:$D$225)-SUMIF(TB!$F$6:$F$225,A6,TB!$E$6:$E$225)</f>
        <v/>
      </c>
    </row>
    <row r="7">
      <c r="A7" t="inlineStr">
        <is>
          <t>LTPROV</t>
        </is>
      </c>
      <c r="B7">
        <f>SUMIF(TB!$F$6:$F$225,A7,TB!$B$6:$B$225)-SUMIF(TB!$F$6:$F$225,A7,TB!$C$6:$C$225)</f>
        <v/>
      </c>
      <c r="C7">
        <f>SUMIF(TB!$F$6:$F$225,A7,TB!$D$6:$D$225)-SUMIF(TB!$F$6:$F$225,A7,TB!$E$6:$E$225)</f>
        <v/>
      </c>
    </row>
    <row r="8">
      <c r="A8" t="inlineStr">
        <is>
          <t>STB</t>
        </is>
      </c>
      <c r="B8">
        <f>SUMIF(TB!$F$6:$F$225,A8,TB!$B$6:$B$225)-SUMIF(TB!$F$6:$F$225,A8,TB!$C$6:$C$225)</f>
        <v/>
      </c>
      <c r="C8">
        <f>SUMIF(TB!$F$6:$F$225,A8,TB!$D$6:$D$225)-SUMIF(TB!$F$6:$F$225,A8,TB!$E$6:$E$225)</f>
        <v/>
      </c>
    </row>
    <row r="9">
      <c r="A9" t="inlineStr">
        <is>
          <t>TPMS</t>
        </is>
      </c>
      <c r="B9">
        <f>SUMIF(TB!$F$6:$F$225,A9,TB!$B$6:$B$225)-SUMIF(TB!$F$6:$F$225,A9,TB!$C$6:$C$225)</f>
        <v/>
      </c>
      <c r="C9">
        <f>SUMIF(TB!$F$6:$F$225,A9,TB!$D$6:$D$225)-SUMIF(TB!$F$6:$F$225,A9,TB!$E$6:$E$225)</f>
        <v/>
      </c>
    </row>
    <row r="10">
      <c r="A10" t="inlineStr">
        <is>
          <t>TPOTH</t>
        </is>
      </c>
      <c r="B10">
        <f>SUMIF(TB!$F$6:$F$225,A10,TB!$B$6:$B$225)-SUMIF(TB!$F$6:$F$225,A10,TB!$C$6:$C$225)</f>
        <v/>
      </c>
      <c r="C10">
        <f>SUMIF(TB!$F$6:$F$225,A10,TB!$D$6:$D$225)-SUMIF(TB!$F$6:$F$225,A10,TB!$E$6:$E$225)</f>
        <v/>
      </c>
    </row>
    <row r="11">
      <c r="A11" t="inlineStr">
        <is>
          <t>OCL</t>
        </is>
      </c>
      <c r="B11">
        <f>SUMIF(TB!$F$6:$F$225,A11,TB!$B$6:$B$225)-SUMIF(TB!$F$6:$F$225,A11,TB!$C$6:$C$225)</f>
        <v/>
      </c>
      <c r="C11">
        <f>SUMIF(TB!$F$6:$F$225,A11,TB!$D$6:$D$225)-SUMIF(TB!$F$6:$F$225,A11,TB!$E$6:$E$225)</f>
        <v/>
      </c>
    </row>
    <row r="12">
      <c r="A12" t="inlineStr">
        <is>
          <t>STPROV</t>
        </is>
      </c>
      <c r="B12">
        <f>SUMIF(TB!$F$6:$F$225,A12,TB!$B$6:$B$225)-SUMIF(TB!$F$6:$F$225,A12,TB!$C$6:$C$225)</f>
        <v/>
      </c>
      <c r="C12">
        <f>SUMIF(TB!$F$6:$F$225,A12,TB!$D$6:$D$225)-SUMIF(TB!$F$6:$F$225,A12,TB!$E$6:$E$225)</f>
        <v/>
      </c>
    </row>
    <row r="13">
      <c r="A13" t="inlineStr">
        <is>
          <t>PPE</t>
        </is>
      </c>
      <c r="B13">
        <f>SUMIF(TB!$F$6:$F$225,A13,TB!$B$6:$B$225)-SUMIF(TB!$F$6:$F$225,A13,TB!$C$6:$C$225)</f>
        <v/>
      </c>
      <c r="C13">
        <f>SUMIF(TB!$F$6:$F$225,A13,TB!$D$6:$D$225)-SUMIF(TB!$F$6:$F$225,A13,TB!$E$6:$E$225)</f>
        <v/>
      </c>
    </row>
    <row r="14">
      <c r="A14" t="inlineStr">
        <is>
          <t>INTAN</t>
        </is>
      </c>
      <c r="B14">
        <f>SUMIF(TB!$F$6:$F$225,A14,TB!$B$6:$B$225)-SUMIF(TB!$F$6:$F$225,A14,TB!$C$6:$C$225)</f>
        <v/>
      </c>
      <c r="C14">
        <f>SUMIF(TB!$F$6:$F$225,A14,TB!$D$6:$D$225)-SUMIF(TB!$F$6:$F$225,A14,TB!$E$6:$E$225)</f>
        <v/>
      </c>
    </row>
    <row r="15">
      <c r="A15" t="inlineStr">
        <is>
          <t>CWIP</t>
        </is>
      </c>
      <c r="B15">
        <f>SUMIF(TB!$F$6:$F$225,A15,TB!$B$6:$B$225)-SUMIF(TB!$F$6:$F$225,A15,TB!$C$6:$C$225)</f>
        <v/>
      </c>
      <c r="C15">
        <f>SUMIF(TB!$F$6:$F$225,A15,TB!$D$6:$D$225)-SUMIF(TB!$F$6:$F$225,A15,TB!$E$6:$E$225)</f>
        <v/>
      </c>
    </row>
    <row r="16">
      <c r="A16" t="inlineStr">
        <is>
          <t>IUD</t>
        </is>
      </c>
      <c r="B16">
        <f>SUMIF(TB!$F$6:$F$225,A16,TB!$B$6:$B$225)-SUMIF(TB!$F$6:$F$225,A16,TB!$C$6:$C$225)</f>
        <v/>
      </c>
      <c r="C16">
        <f>SUMIF(TB!$F$6:$F$225,A16,TB!$D$6:$D$225)-SUMIF(TB!$F$6:$F$225,A16,TB!$E$6:$E$225)</f>
        <v/>
      </c>
    </row>
    <row r="17">
      <c r="A17" t="inlineStr">
        <is>
          <t>NCINV</t>
        </is>
      </c>
      <c r="B17">
        <f>SUMIF(TB!$F$6:$F$225,A17,TB!$B$6:$B$225)-SUMIF(TB!$F$6:$F$225,A17,TB!$C$6:$C$225)</f>
        <v/>
      </c>
      <c r="C17">
        <f>SUMIF(TB!$F$6:$F$225,A17,TB!$D$6:$D$225)-SUMIF(TB!$F$6:$F$225,A17,TB!$E$6:$E$225)</f>
        <v/>
      </c>
    </row>
    <row r="18">
      <c r="A18" t="inlineStr">
        <is>
          <t>DTA</t>
        </is>
      </c>
      <c r="B18">
        <f>SUMIF(TB!$F$6:$F$225,A18,TB!$B$6:$B$225)-SUMIF(TB!$F$6:$F$225,A18,TB!$C$6:$C$225)</f>
        <v/>
      </c>
      <c r="C18">
        <f>SUMIF(TB!$F$6:$F$225,A18,TB!$D$6:$D$225)-SUMIF(TB!$F$6:$F$225,A18,TB!$E$6:$E$225)</f>
        <v/>
      </c>
    </row>
    <row r="19">
      <c r="A19" t="inlineStr">
        <is>
          <t>LTLA</t>
        </is>
      </c>
      <c r="B19">
        <f>SUMIF(TB!$F$6:$F$225,A19,TB!$B$6:$B$225)-SUMIF(TB!$F$6:$F$225,A19,TB!$C$6:$C$225)</f>
        <v/>
      </c>
      <c r="C19">
        <f>SUMIF(TB!$F$6:$F$225,A19,TB!$D$6:$D$225)-SUMIF(TB!$F$6:$F$225,A19,TB!$E$6:$E$225)</f>
        <v/>
      </c>
    </row>
    <row r="20">
      <c r="A20" t="inlineStr">
        <is>
          <t>ONCA</t>
        </is>
      </c>
      <c r="B20">
        <f>SUMIF(TB!$F$6:$F$225,A20,TB!$B$6:$B$225)-SUMIF(TB!$F$6:$F$225,A20,TB!$C$6:$C$225)</f>
        <v/>
      </c>
      <c r="C20">
        <f>SUMIF(TB!$F$6:$F$225,A20,TB!$D$6:$D$225)-SUMIF(TB!$F$6:$F$225,A20,TB!$E$6:$E$225)</f>
        <v/>
      </c>
    </row>
    <row r="21">
      <c r="A21" t="inlineStr">
        <is>
          <t>CINV</t>
        </is>
      </c>
      <c r="B21">
        <f>SUMIF(TB!$F$6:$F$225,A21,TB!$B$6:$B$225)-SUMIF(TB!$F$6:$F$225,A21,TB!$C$6:$C$225)</f>
        <v/>
      </c>
      <c r="C21">
        <f>SUMIF(TB!$F$6:$F$225,A21,TB!$D$6:$D$225)-SUMIF(TB!$F$6:$F$225,A21,TB!$E$6:$E$225)</f>
        <v/>
      </c>
    </row>
    <row r="22">
      <c r="A22" t="inlineStr">
        <is>
          <t>INVTY</t>
        </is>
      </c>
      <c r="B22">
        <f>SUMIF(TB!$F$6:$F$225,A22,TB!$B$6:$B$225)-SUMIF(TB!$F$6:$F$225,A22,TB!$C$6:$C$225)</f>
        <v/>
      </c>
      <c r="C22">
        <f>SUMIF(TB!$F$6:$F$225,A22,TB!$D$6:$D$225)-SUMIF(TB!$F$6:$F$225,A22,TB!$E$6:$E$225)</f>
        <v/>
      </c>
    </row>
    <row r="23">
      <c r="A23" t="inlineStr">
        <is>
          <t>TR</t>
        </is>
      </c>
      <c r="B23">
        <f>SUMIF(TB!$F$6:$F$225,A23,TB!$B$6:$B$225)-SUMIF(TB!$F$6:$F$225,A23,TB!$C$6:$C$225)</f>
        <v/>
      </c>
      <c r="C23">
        <f>SUMIF(TB!$F$6:$F$225,A23,TB!$D$6:$D$225)-SUMIF(TB!$F$6:$F$225,A23,TB!$E$6:$E$225)</f>
        <v/>
      </c>
    </row>
    <row r="24">
      <c r="A24" t="inlineStr">
        <is>
          <t>CASH</t>
        </is>
      </c>
      <c r="B24">
        <f>SUMIF(TB!$F$6:$F$225,A24,TB!$B$6:$B$225)-SUMIF(TB!$F$6:$F$225,A24,TB!$C$6:$C$225)</f>
        <v/>
      </c>
      <c r="C24">
        <f>SUMIF(TB!$F$6:$F$225,A24,TB!$D$6:$D$225)-SUMIF(TB!$F$6:$F$225,A24,TB!$E$6:$E$225)</f>
        <v/>
      </c>
    </row>
    <row r="25">
      <c r="A25" t="inlineStr">
        <is>
          <t>STLA</t>
        </is>
      </c>
      <c r="B25">
        <f>SUMIF(TB!$F$6:$F$225,A25,TB!$B$6:$B$225)-SUMIF(TB!$F$6:$F$225,A25,TB!$C$6:$C$225)</f>
        <v/>
      </c>
      <c r="C25">
        <f>SUMIF(TB!$F$6:$F$225,A25,TB!$D$6:$D$225)-SUMIF(TB!$F$6:$F$225,A25,TB!$E$6:$E$225)</f>
        <v/>
      </c>
    </row>
    <row r="26">
      <c r="A26" t="inlineStr">
        <is>
          <t>OCA</t>
        </is>
      </c>
      <c r="B26">
        <f>SUMIF(TB!$F$6:$F$225,A26,TB!$B$6:$B$225)-SUMIF(TB!$F$6:$F$225,A26,TB!$C$6:$C$225)</f>
        <v/>
      </c>
      <c r="C26">
        <f>SUMIF(TB!$F$6:$F$225,A26,TB!$D$6:$D$225)-SUMIF(TB!$F$6:$F$225,A26,TB!$E$6:$E$225)</f>
        <v/>
      </c>
    </row>
    <row r="27">
      <c r="A27" t="inlineStr">
        <is>
          <t>REV</t>
        </is>
      </c>
      <c r="B27">
        <f>SUMIF(TB!$F$6:$F$225,A27,TB!$B$6:$B$225)-SUMIF(TB!$F$6:$F$225,A27,TB!$C$6:$C$225)</f>
        <v/>
      </c>
      <c r="C27">
        <f>SUMIF(TB!$F$6:$F$225,A27,TB!$D$6:$D$225)-SUMIF(TB!$F$6:$F$225,A27,TB!$E$6:$E$225)</f>
        <v/>
      </c>
    </row>
    <row r="28">
      <c r="A28" t="inlineStr">
        <is>
          <t>OTHINC</t>
        </is>
      </c>
      <c r="B28">
        <f>SUMIF(TB!$F$6:$F$225,A28,TB!$B$6:$B$225)-SUMIF(TB!$F$6:$F$225,A28,TB!$C$6:$C$225)</f>
        <v/>
      </c>
      <c r="C28">
        <f>SUMIF(TB!$F$6:$F$225,A28,TB!$D$6:$D$225)-SUMIF(TB!$F$6:$F$225,A28,TB!$E$6:$E$225)</f>
        <v/>
      </c>
    </row>
    <row r="29">
      <c r="A29" t="inlineStr">
        <is>
          <t>MATCONS</t>
        </is>
      </c>
      <c r="B29">
        <f>SUMIF(TB!$F$6:$F$225,A29,TB!$B$6:$B$225)-SUMIF(TB!$F$6:$F$225,A29,TB!$C$6:$C$225)</f>
        <v/>
      </c>
      <c r="C29">
        <f>SUMIF(TB!$F$6:$F$225,A29,TB!$D$6:$D$225)-SUMIF(TB!$F$6:$F$225,A29,TB!$E$6:$E$225)</f>
        <v/>
      </c>
    </row>
    <row r="30">
      <c r="A30" t="inlineStr">
        <is>
          <t>PURST</t>
        </is>
      </c>
      <c r="B30">
        <f>SUMIF(TB!$F$6:$F$225,A30,TB!$B$6:$B$225)-SUMIF(TB!$F$6:$F$225,A30,TB!$C$6:$C$225)</f>
        <v/>
      </c>
      <c r="C30">
        <f>SUMIF(TB!$F$6:$F$225,A30,TB!$D$6:$D$225)-SUMIF(TB!$F$6:$F$225,A30,TB!$E$6:$E$225)</f>
        <v/>
      </c>
    </row>
    <row r="31">
      <c r="A31" t="inlineStr">
        <is>
          <t>CHGINV</t>
        </is>
      </c>
      <c r="B31">
        <f>SUMIF(TB!$F$6:$F$225,A31,TB!$B$6:$B$225)-SUMIF(TB!$F$6:$F$225,A31,TB!$C$6:$C$225)</f>
        <v/>
      </c>
      <c r="C31">
        <f>SUMIF(TB!$F$6:$F$225,A31,TB!$D$6:$D$225)-SUMIF(TB!$F$6:$F$225,A31,TB!$E$6:$E$225)</f>
        <v/>
      </c>
    </row>
    <row r="32">
      <c r="A32" t="inlineStr">
        <is>
          <t>EMPB</t>
        </is>
      </c>
      <c r="B32">
        <f>SUMIF(TB!$F$6:$F$225,A32,TB!$B$6:$B$225)-SUMIF(TB!$F$6:$F$225,A32,TB!$C$6:$C$225)</f>
        <v/>
      </c>
      <c r="C32">
        <f>SUMIF(TB!$F$6:$F$225,A32,TB!$D$6:$D$225)-SUMIF(TB!$F$6:$F$225,A32,TB!$E$6:$E$225)</f>
        <v/>
      </c>
    </row>
    <row r="33">
      <c r="A33" t="inlineStr">
        <is>
          <t>FINC</t>
        </is>
      </c>
      <c r="B33">
        <f>SUMIF(TB!$F$6:$F$225,A33,TB!$B$6:$B$225)-SUMIF(TB!$F$6:$F$225,A33,TB!$C$6:$C$225)</f>
        <v/>
      </c>
      <c r="C33">
        <f>SUMIF(TB!$F$6:$F$225,A33,TB!$D$6:$D$225)-SUMIF(TB!$F$6:$F$225,A33,TB!$E$6:$E$225)</f>
        <v/>
      </c>
    </row>
    <row r="34">
      <c r="A34" t="inlineStr">
        <is>
          <t>DEPAM</t>
        </is>
      </c>
      <c r="B34">
        <f>SUMIF(TB!$F$6:$F$225,A34,TB!$B$6:$B$225)-SUMIF(TB!$F$6:$F$225,A34,TB!$C$6:$C$225)</f>
        <v/>
      </c>
      <c r="C34">
        <f>SUMIF(TB!$F$6:$F$225,A34,TB!$D$6:$D$225)-SUMIF(TB!$F$6:$F$225,A34,TB!$E$6:$E$225)</f>
        <v/>
      </c>
    </row>
    <row r="35">
      <c r="A35" t="inlineStr">
        <is>
          <t>OTHEXP</t>
        </is>
      </c>
      <c r="B35">
        <f>SUMIF(TB!$F$6:$F$225,A35,TB!$B$6:$B$225)-SUMIF(TB!$F$6:$F$225,A35,TB!$C$6:$C$225)</f>
        <v/>
      </c>
      <c r="C35">
        <f>SUMIF(TB!$F$6:$F$225,A35,TB!$D$6:$D$225)-SUMIF(TB!$F$6:$F$225,A35,TB!$E$6:$E$225)</f>
        <v/>
      </c>
    </row>
    <row r="36">
      <c r="A36" t="inlineStr">
        <is>
          <t>EXCPI</t>
        </is>
      </c>
      <c r="B36">
        <f>SUMIF(TB!$F$6:$F$225,A36,TB!$B$6:$B$225)-SUMIF(TB!$F$6:$F$225,A36,TB!$C$6:$C$225)</f>
        <v/>
      </c>
      <c r="C36">
        <f>SUMIF(TB!$F$6:$F$225,A36,TB!$D$6:$D$225)-SUMIF(TB!$F$6:$F$225,A36,TB!$E$6:$E$225)</f>
        <v/>
      </c>
    </row>
    <row r="37">
      <c r="A37" t="inlineStr">
        <is>
          <t>TAXCUR</t>
        </is>
      </c>
      <c r="B37">
        <f>SUMIF(TB!$F$6:$F$225,A37,TB!$B$6:$B$225)-SUMIF(TB!$F$6:$F$225,A37,TB!$C$6:$C$225)</f>
        <v/>
      </c>
      <c r="C37">
        <f>SUMIF(TB!$F$6:$F$225,A37,TB!$D$6:$D$225)-SUMIF(TB!$F$6:$F$225,A37,TB!$E$6:$E$225)</f>
        <v/>
      </c>
    </row>
    <row r="38">
      <c r="A38" t="inlineStr">
        <is>
          <t>TAXDEF</t>
        </is>
      </c>
      <c r="B38">
        <f>SUMIF(TB!$F$6:$F$225,A38,TB!$B$6:$B$225)-SUMIF(TB!$F$6:$F$225,A38,TB!$C$6:$C$225)</f>
        <v/>
      </c>
      <c r="C38">
        <f>SUMIF(TB!$F$6:$F$225,A38,TB!$D$6:$D$225)-SUMIF(TB!$F$6:$F$225,A38,TB!$E$6:$E$225)</f>
        <v/>
      </c>
    </row>
    <row r="39"/>
    <row r="40"/>
    <row r="41"/>
    <row r="42"/>
    <row r="43"/>
    <row r="44"/>
    <row r="45">
      <c r="A45" t="inlineStr">
        <is>
          <t>PAT_CY</t>
        </is>
      </c>
      <c r="B45">
        <f>-(Calc!$B$27+Calc!$B$28)-(Calc!$B$29+Calc!$B$30+Calc!$B$31+Calc!$B$32+Calc!$B$33+Calc!$B$34+Calc!$B$35+Calc!$B$36+Calc!$B$37+Calc!$B$38)</f>
        <v/>
      </c>
    </row>
    <row r="46">
      <c r="A46" t="inlineStr">
        <is>
          <t>PAT_PY</t>
        </is>
      </c>
      <c r="C46">
        <f>-(Calc!$C$27+Calc!$C$28)-(Calc!$C$29+Calc!$C$30+Calc!$C$31+Calc!$C$32+Calc!$C$33+Calc!$C$34+Calc!$C$35+Calc!$C$36+Calc!$C$37+Calc!$C$38)</f>
        <v/>
      </c>
    </row>
  </sheetData>
  <sheetProtection selectLockedCells="0" selectUnlockedCells="0" sheet="1" objects="0" insertRows="0" insertHyperlinks="1" autoFilter="0" scenarios="0" formatColumns="0" deleteColumns="1" insertColumns="1" pivotTables="1" deleteRows="0" formatCells="1" formatRows="0" sort="0" password="BBBC"/>
  <pageMargins left="0.75" right="0.75" top="1" bottom="1" header="0.5" footer="0.5"/>
</worksheet>
</file>

<file path=xl/worksheets/sheet7.xml><?xml version="1.0" encoding="utf-8"?>
<worksheet xmlns="http://schemas.openxmlformats.org/spreadsheetml/2006/main">
  <sheetPr>
    <tabColor rgb="001E3A8A"/>
    <outlinePr summaryBelow="1" summaryRight="1"/>
    <pageSetUpPr/>
  </sheetPr>
  <dimension ref="A1:L27"/>
  <sheetViews>
    <sheetView showGridLines="0" workbookViewId="0">
      <selection activeCell="A1" sqref="A1"/>
    </sheetView>
  </sheetViews>
  <sheetFormatPr baseColWidth="8" defaultRowHeight="15"/>
  <cols>
    <col width="24" customWidth="1" min="1" max="1"/>
    <col width="12" customWidth="1" min="2" max="2"/>
    <col width="26" customWidth="1" min="3" max="3"/>
    <col width="10" customWidth="1" min="4" max="4"/>
    <col width="13" customWidth="1" min="5" max="5"/>
    <col width="15" customWidth="1" min="6" max="6"/>
    <col width="15" customWidth="1" min="7" max="7"/>
    <col width="14" customWidth="1" min="8" max="8"/>
    <col width="15" customWidth="1" min="9" max="9"/>
    <col width="15" customWidth="1" min="10" max="10"/>
    <col width="15" customWidth="1" min="11" max="11"/>
    <col width="16" customWidth="1" min="12" max="12"/>
  </cols>
  <sheetData>
    <row r="1"/>
    <row r="2">
      <c r="A2" s="3" t="inlineStr">
        <is>
          <t>Long-term borrowings - loan grid and current-maturities split</t>
        </is>
      </c>
    </row>
    <row r="3">
      <c r="A3" s="7" t="inlineStr">
        <is>
          <t>Enter every long-term loan at its CLOSING principal on the balance sheet date. Map the SAME balances to code LTB in the TB. The workbook computes the principal due within 12 months (current maturities) and moves it under Short-term borrowings on the face, per the 2021 amendment.</t>
        </is>
      </c>
    </row>
    <row r="4"/>
    <row r="5">
      <c r="A5" s="12" t="inlineStr">
        <is>
          <t>Lender / loan</t>
        </is>
      </c>
      <c r="B5" s="12" t="inlineStr">
        <is>
          <t>Secured?</t>
        </is>
      </c>
      <c r="C5" s="12" t="inlineStr">
        <is>
          <t>Nature of security</t>
        </is>
      </c>
      <c r="D5" s="12" t="inlineStr">
        <is>
          <t>Rate % p.a.</t>
        </is>
      </c>
      <c r="E5" s="12" t="inlineStr">
        <is>
          <t>Repayment type</t>
        </is>
      </c>
      <c r="F5" s="12" t="inlineStr">
        <is>
          <t>EMI / monthly principal (Rs)</t>
        </is>
      </c>
      <c r="G5" s="12" t="inlineStr">
        <is>
          <t>Maturity date (bullet)</t>
        </is>
      </c>
      <c r="H5" s="12" t="inlineStr">
        <is>
          <t>Months left (info)</t>
        </is>
      </c>
      <c r="I5" s="12" t="inlineStr">
        <is>
          <t>Outstanding at BS date (Rs)</t>
        </is>
      </c>
      <c r="J5" s="12" t="inlineStr">
        <is>
          <t>Current maturities (auto, Rs)</t>
        </is>
      </c>
      <c r="K5" s="12" t="inlineStr">
        <is>
          <t>Non-current (auto, Rs)</t>
        </is>
      </c>
      <c r="L5" s="12" t="inlineStr">
        <is>
          <t>Interest accrued but not due (Rs)</t>
        </is>
      </c>
    </row>
    <row r="6">
      <c r="A6" s="40" t="n"/>
      <c r="B6" s="40" t="inlineStr">
        <is>
          <t>No</t>
        </is>
      </c>
      <c r="C6" s="40" t="n"/>
      <c r="D6" s="46" t="n"/>
      <c r="E6" s="40" t="inlineStr">
        <is>
          <t>EMI</t>
        </is>
      </c>
      <c r="F6" s="42" t="n"/>
      <c r="G6" s="41" t="n"/>
      <c r="H6" s="43">
        <f>IF(I6=0,"",IF(E6="Bullet",IF(G6="","?",ROUND((G6-BSD)/30.4,0)),IF(F6=0,"?",IF(E6="EMI",IFERROR(ROUND(LN(F6/(F6-I6*D6/1200))/LN(1+D6/1200),0),"?"),ROUND(I6/F6,0)))))</f>
        <v/>
      </c>
      <c r="I6" s="42" t="n"/>
      <c r="J6" s="43">
        <f>IF(I6=0,0,IF(E6="Bullet",IF(G6="",0,IF(G6&lt;=BSD+366,I6,0)),IF(E6="Equal principal",MIN(I6,F6*12),IF(D6=0,MIN(I6,F6*12),MIN(I6,MAX(0,I6-MAX(0,I6*POWER(1+D6/1200,12)-F6*((POWER(1+D6/1200,12)-1)/(D6/1200)))))))))</f>
        <v/>
      </c>
      <c r="K6" s="43">
        <f>I6-J6</f>
        <v/>
      </c>
      <c r="L6" s="42" t="n">
        <v>0</v>
      </c>
    </row>
    <row r="7">
      <c r="A7" s="40" t="n"/>
      <c r="B7" s="40" t="inlineStr">
        <is>
          <t>No</t>
        </is>
      </c>
      <c r="C7" s="40" t="n"/>
      <c r="D7" s="46" t="n"/>
      <c r="E7" s="40" t="inlineStr">
        <is>
          <t>EMI</t>
        </is>
      </c>
      <c r="F7" s="42" t="n"/>
      <c r="G7" s="41" t="n"/>
      <c r="H7" s="43">
        <f>IF(I7=0,"",IF(E7="Bullet",IF(G7="","?",ROUND((G7-BSD)/30.4,0)),IF(F7=0,"?",IF(E7="EMI",IFERROR(ROUND(LN(F7/(F7-I7*D7/1200))/LN(1+D7/1200),0),"?"),ROUND(I7/F7,0)))))</f>
        <v/>
      </c>
      <c r="I7" s="42" t="n"/>
      <c r="J7" s="43">
        <f>IF(I7=0,0,IF(E7="Bullet",IF(G7="",0,IF(G7&lt;=BSD+366,I7,0)),IF(E7="Equal principal",MIN(I7,F7*12),IF(D7=0,MIN(I7,F7*12),MIN(I7,MAX(0,I7-MAX(0,I7*POWER(1+D7/1200,12)-F7*((POWER(1+D7/1200,12)-1)/(D7/1200)))))))))</f>
        <v/>
      </c>
      <c r="K7" s="43">
        <f>I7-J7</f>
        <v/>
      </c>
      <c r="L7" s="42" t="n">
        <v>0</v>
      </c>
    </row>
    <row r="8">
      <c r="A8" s="40" t="n"/>
      <c r="B8" s="40" t="inlineStr">
        <is>
          <t>No</t>
        </is>
      </c>
      <c r="C8" s="40" t="n"/>
      <c r="D8" s="46" t="n"/>
      <c r="E8" s="40" t="inlineStr">
        <is>
          <t>EMI</t>
        </is>
      </c>
      <c r="F8" s="42" t="n"/>
      <c r="G8" s="41" t="n"/>
      <c r="H8" s="43">
        <f>IF(I8=0,"",IF(E8="Bullet",IF(G8="","?",ROUND((G8-BSD)/30.4,0)),IF(F8=0,"?",IF(E8="EMI",IFERROR(ROUND(LN(F8/(F8-I8*D8/1200))/LN(1+D8/1200),0),"?"),ROUND(I8/F8,0)))))</f>
        <v/>
      </c>
      <c r="I8" s="42" t="n"/>
      <c r="J8" s="43">
        <f>IF(I8=0,0,IF(E8="Bullet",IF(G8="",0,IF(G8&lt;=BSD+366,I8,0)),IF(E8="Equal principal",MIN(I8,F8*12),IF(D8=0,MIN(I8,F8*12),MIN(I8,MAX(0,I8-MAX(0,I8*POWER(1+D8/1200,12)-F8*((POWER(1+D8/1200,12)-1)/(D8/1200)))))))))</f>
        <v/>
      </c>
      <c r="K8" s="43">
        <f>I8-J8</f>
        <v/>
      </c>
      <c r="L8" s="42" t="n">
        <v>0</v>
      </c>
    </row>
    <row r="9">
      <c r="A9" s="40" t="n"/>
      <c r="B9" s="40" t="inlineStr">
        <is>
          <t>No</t>
        </is>
      </c>
      <c r="C9" s="40" t="n"/>
      <c r="D9" s="46" t="n"/>
      <c r="E9" s="40" t="inlineStr">
        <is>
          <t>EMI</t>
        </is>
      </c>
      <c r="F9" s="42" t="n"/>
      <c r="G9" s="41" t="n"/>
      <c r="H9" s="43">
        <f>IF(I9=0,"",IF(E9="Bullet",IF(G9="","?",ROUND((G9-BSD)/30.4,0)),IF(F9=0,"?",IF(E9="EMI",IFERROR(ROUND(LN(F9/(F9-I9*D9/1200))/LN(1+D9/1200),0),"?"),ROUND(I9/F9,0)))))</f>
        <v/>
      </c>
      <c r="I9" s="42" t="n"/>
      <c r="J9" s="43">
        <f>IF(I9=0,0,IF(E9="Bullet",IF(G9="",0,IF(G9&lt;=BSD+366,I9,0)),IF(E9="Equal principal",MIN(I9,F9*12),IF(D9=0,MIN(I9,F9*12),MIN(I9,MAX(0,I9-MAX(0,I9*POWER(1+D9/1200,12)-F9*((POWER(1+D9/1200,12)-1)/(D9/1200)))))))))</f>
        <v/>
      </c>
      <c r="K9" s="43">
        <f>I9-J9</f>
        <v/>
      </c>
      <c r="L9" s="42" t="n">
        <v>0</v>
      </c>
    </row>
    <row r="10">
      <c r="A10" s="40" t="n"/>
      <c r="B10" s="40" t="inlineStr">
        <is>
          <t>No</t>
        </is>
      </c>
      <c r="C10" s="40" t="n"/>
      <c r="D10" s="46" t="n"/>
      <c r="E10" s="40" t="inlineStr">
        <is>
          <t>EMI</t>
        </is>
      </c>
      <c r="F10" s="42" t="n"/>
      <c r="G10" s="41" t="n"/>
      <c r="H10" s="43">
        <f>IF(I10=0,"",IF(E10="Bullet",IF(G10="","?",ROUND((G10-BSD)/30.4,0)),IF(F10=0,"?",IF(E10="EMI",IFERROR(ROUND(LN(F10/(F10-I10*D10/1200))/LN(1+D10/1200),0),"?"),ROUND(I10/F10,0)))))</f>
        <v/>
      </c>
      <c r="I10" s="42" t="n"/>
      <c r="J10" s="43">
        <f>IF(I10=0,0,IF(E10="Bullet",IF(G10="",0,IF(G10&lt;=BSD+366,I10,0)),IF(E10="Equal principal",MIN(I10,F10*12),IF(D10=0,MIN(I10,F10*12),MIN(I10,MAX(0,I10-MAX(0,I10*POWER(1+D10/1200,12)-F10*((POWER(1+D10/1200,12)-1)/(D10/1200)))))))))</f>
        <v/>
      </c>
      <c r="K10" s="43">
        <f>I10-J10</f>
        <v/>
      </c>
      <c r="L10" s="42" t="n">
        <v>0</v>
      </c>
    </row>
    <row r="11">
      <c r="A11" s="40" t="n"/>
      <c r="B11" s="40" t="inlineStr">
        <is>
          <t>No</t>
        </is>
      </c>
      <c r="C11" s="40" t="n"/>
      <c r="D11" s="46" t="n"/>
      <c r="E11" s="40" t="inlineStr">
        <is>
          <t>EMI</t>
        </is>
      </c>
      <c r="F11" s="42" t="n"/>
      <c r="G11" s="41" t="n"/>
      <c r="H11" s="43">
        <f>IF(I11=0,"",IF(E11="Bullet",IF(G11="","?",ROUND((G11-BSD)/30.4,0)),IF(F11=0,"?",IF(E11="EMI",IFERROR(ROUND(LN(F11/(F11-I11*D11/1200))/LN(1+D11/1200),0),"?"),ROUND(I11/F11,0)))))</f>
        <v/>
      </c>
      <c r="I11" s="42" t="n"/>
      <c r="J11" s="43">
        <f>IF(I11=0,0,IF(E11="Bullet",IF(G11="",0,IF(G11&lt;=BSD+366,I11,0)),IF(E11="Equal principal",MIN(I11,F11*12),IF(D11=0,MIN(I11,F11*12),MIN(I11,MAX(0,I11-MAX(0,I11*POWER(1+D11/1200,12)-F11*((POWER(1+D11/1200,12)-1)/(D11/1200)))))))))</f>
        <v/>
      </c>
      <c r="K11" s="43">
        <f>I11-J11</f>
        <v/>
      </c>
      <c r="L11" s="42" t="n">
        <v>0</v>
      </c>
    </row>
    <row r="12">
      <c r="A12" s="40" t="n"/>
      <c r="B12" s="40" t="inlineStr">
        <is>
          <t>No</t>
        </is>
      </c>
      <c r="C12" s="40" t="n"/>
      <c r="D12" s="46" t="n"/>
      <c r="E12" s="40" t="inlineStr">
        <is>
          <t>EMI</t>
        </is>
      </c>
      <c r="F12" s="42" t="n"/>
      <c r="G12" s="41" t="n"/>
      <c r="H12" s="43">
        <f>IF(I12=0,"",IF(E12="Bullet",IF(G12="","?",ROUND((G12-BSD)/30.4,0)),IF(F12=0,"?",IF(E12="EMI",IFERROR(ROUND(LN(F12/(F12-I12*D12/1200))/LN(1+D12/1200),0),"?"),ROUND(I12/F12,0)))))</f>
        <v/>
      </c>
      <c r="I12" s="42" t="n"/>
      <c r="J12" s="43">
        <f>IF(I12=0,0,IF(E12="Bullet",IF(G12="",0,IF(G12&lt;=BSD+366,I12,0)),IF(E12="Equal principal",MIN(I12,F12*12),IF(D12=0,MIN(I12,F12*12),MIN(I12,MAX(0,I12-MAX(0,I12*POWER(1+D12/1200,12)-F12*((POWER(1+D12/1200,12)-1)/(D12/1200)))))))))</f>
        <v/>
      </c>
      <c r="K12" s="43">
        <f>I12-J12</f>
        <v/>
      </c>
      <c r="L12" s="42" t="n">
        <v>0</v>
      </c>
    </row>
    <row r="13">
      <c r="A13" s="40" t="n"/>
      <c r="B13" s="40" t="inlineStr">
        <is>
          <t>No</t>
        </is>
      </c>
      <c r="C13" s="40" t="n"/>
      <c r="D13" s="46" t="n"/>
      <c r="E13" s="40" t="inlineStr">
        <is>
          <t>EMI</t>
        </is>
      </c>
      <c r="F13" s="42" t="n"/>
      <c r="G13" s="41" t="n"/>
      <c r="H13" s="43">
        <f>IF(I13=0,"",IF(E13="Bullet",IF(G13="","?",ROUND((G13-BSD)/30.4,0)),IF(F13=0,"?",IF(E13="EMI",IFERROR(ROUND(LN(F13/(F13-I13*D13/1200))/LN(1+D13/1200),0),"?"),ROUND(I13/F13,0)))))</f>
        <v/>
      </c>
      <c r="I13" s="42" t="n"/>
      <c r="J13" s="43">
        <f>IF(I13=0,0,IF(E13="Bullet",IF(G13="",0,IF(G13&lt;=BSD+366,I13,0)),IF(E13="Equal principal",MIN(I13,F13*12),IF(D13=0,MIN(I13,F13*12),MIN(I13,MAX(0,I13-MAX(0,I13*POWER(1+D13/1200,12)-F13*((POWER(1+D13/1200,12)-1)/(D13/1200)))))))))</f>
        <v/>
      </c>
      <c r="K13" s="43">
        <f>I13-J13</f>
        <v/>
      </c>
      <c r="L13" s="42" t="n">
        <v>0</v>
      </c>
    </row>
    <row r="14">
      <c r="A14" s="40" t="n"/>
      <c r="B14" s="40" t="inlineStr">
        <is>
          <t>No</t>
        </is>
      </c>
      <c r="C14" s="40" t="n"/>
      <c r="D14" s="46" t="n"/>
      <c r="E14" s="40" t="inlineStr">
        <is>
          <t>EMI</t>
        </is>
      </c>
      <c r="F14" s="42" t="n"/>
      <c r="G14" s="41" t="n"/>
      <c r="H14" s="43">
        <f>IF(I14=0,"",IF(E14="Bullet",IF(G14="","?",ROUND((G14-BSD)/30.4,0)),IF(F14=0,"?",IF(E14="EMI",IFERROR(ROUND(LN(F14/(F14-I14*D14/1200))/LN(1+D14/1200),0),"?"),ROUND(I14/F14,0)))))</f>
        <v/>
      </c>
      <c r="I14" s="42" t="n"/>
      <c r="J14" s="43">
        <f>IF(I14=0,0,IF(E14="Bullet",IF(G14="",0,IF(G14&lt;=BSD+366,I14,0)),IF(E14="Equal principal",MIN(I14,F14*12),IF(D14=0,MIN(I14,F14*12),MIN(I14,MAX(0,I14-MAX(0,I14*POWER(1+D14/1200,12)-F14*((POWER(1+D14/1200,12)-1)/(D14/1200)))))))))</f>
        <v/>
      </c>
      <c r="K14" s="43">
        <f>I14-J14</f>
        <v/>
      </c>
      <c r="L14" s="42" t="n">
        <v>0</v>
      </c>
    </row>
    <row r="15">
      <c r="A15" s="40" t="n"/>
      <c r="B15" s="40" t="inlineStr">
        <is>
          <t>No</t>
        </is>
      </c>
      <c r="C15" s="40" t="n"/>
      <c r="D15" s="46" t="n"/>
      <c r="E15" s="40" t="inlineStr">
        <is>
          <t>EMI</t>
        </is>
      </c>
      <c r="F15" s="42" t="n"/>
      <c r="G15" s="41" t="n"/>
      <c r="H15" s="43">
        <f>IF(I15=0,"",IF(E15="Bullet",IF(G15="","?",ROUND((G15-BSD)/30.4,0)),IF(F15=0,"?",IF(E15="EMI",IFERROR(ROUND(LN(F15/(F15-I15*D15/1200))/LN(1+D15/1200),0),"?"),ROUND(I15/F15,0)))))</f>
        <v/>
      </c>
      <c r="I15" s="42" t="n"/>
      <c r="J15" s="43">
        <f>IF(I15=0,0,IF(E15="Bullet",IF(G15="",0,IF(G15&lt;=BSD+366,I15,0)),IF(E15="Equal principal",MIN(I15,F15*12),IF(D15=0,MIN(I15,F15*12),MIN(I15,MAX(0,I15-MAX(0,I15*POWER(1+D15/1200,12)-F15*((POWER(1+D15/1200,12)-1)/(D15/1200)))))))))</f>
        <v/>
      </c>
      <c r="K15" s="43">
        <f>I15-J15</f>
        <v/>
      </c>
      <c r="L15" s="42" t="n">
        <v>0</v>
      </c>
    </row>
    <row r="16">
      <c r="A16" s="40" t="n"/>
      <c r="B16" s="40" t="inlineStr">
        <is>
          <t>No</t>
        </is>
      </c>
      <c r="C16" s="40" t="n"/>
      <c r="D16" s="46" t="n"/>
      <c r="E16" s="40" t="inlineStr">
        <is>
          <t>EMI</t>
        </is>
      </c>
      <c r="F16" s="42" t="n"/>
      <c r="G16" s="41" t="n"/>
      <c r="H16" s="43">
        <f>IF(I16=0,"",IF(E16="Bullet",IF(G16="","?",ROUND((G16-BSD)/30.4,0)),IF(F16=0,"?",IF(E16="EMI",IFERROR(ROUND(LN(F16/(F16-I16*D16/1200))/LN(1+D16/1200),0),"?"),ROUND(I16/F16,0)))))</f>
        <v/>
      </c>
      <c r="I16" s="42" t="n"/>
      <c r="J16" s="43">
        <f>IF(I16=0,0,IF(E16="Bullet",IF(G16="",0,IF(G16&lt;=BSD+366,I16,0)),IF(E16="Equal principal",MIN(I16,F16*12),IF(D16=0,MIN(I16,F16*12),MIN(I16,MAX(0,I16-MAX(0,I16*POWER(1+D16/1200,12)-F16*((POWER(1+D16/1200,12)-1)/(D16/1200)))))))))</f>
        <v/>
      </c>
      <c r="K16" s="43">
        <f>I16-J16</f>
        <v/>
      </c>
      <c r="L16" s="42" t="n">
        <v>0</v>
      </c>
    </row>
    <row r="17">
      <c r="A17" s="40" t="n"/>
      <c r="B17" s="40" t="inlineStr">
        <is>
          <t>No</t>
        </is>
      </c>
      <c r="C17" s="40" t="n"/>
      <c r="D17" s="46" t="n"/>
      <c r="E17" s="40" t="inlineStr">
        <is>
          <t>EMI</t>
        </is>
      </c>
      <c r="F17" s="42" t="n"/>
      <c r="G17" s="41" t="n"/>
      <c r="H17" s="43">
        <f>IF(I17=0,"",IF(E17="Bullet",IF(G17="","?",ROUND((G17-BSD)/30.4,0)),IF(F17=0,"?",IF(E17="EMI",IFERROR(ROUND(LN(F17/(F17-I17*D17/1200))/LN(1+D17/1200),0),"?"),ROUND(I17/F17,0)))))</f>
        <v/>
      </c>
      <c r="I17" s="42" t="n"/>
      <c r="J17" s="43">
        <f>IF(I17=0,0,IF(E17="Bullet",IF(G17="",0,IF(G17&lt;=BSD+366,I17,0)),IF(E17="Equal principal",MIN(I17,F17*12),IF(D17=0,MIN(I17,F17*12),MIN(I17,MAX(0,I17-MAX(0,I17*POWER(1+D17/1200,12)-F17*((POWER(1+D17/1200,12)-1)/(D17/1200)))))))))</f>
        <v/>
      </c>
      <c r="K17" s="43">
        <f>I17-J17</f>
        <v/>
      </c>
      <c r="L17" s="42" t="n">
        <v>0</v>
      </c>
    </row>
    <row r="18">
      <c r="A18" s="14" t="inlineStr">
        <is>
          <t>Totals</t>
        </is>
      </c>
      <c r="I18" s="44">
        <f>SUM(I6:I17)</f>
        <v/>
      </c>
      <c r="J18" s="44">
        <f>SUM(J6:J17)</f>
        <v/>
      </c>
      <c r="K18" s="44">
        <f>SUM(K6:K17)</f>
        <v/>
      </c>
      <c r="L18" s="44">
        <f>SUM(L6:L17)</f>
        <v/>
      </c>
    </row>
    <row r="19"/>
    <row r="20">
      <c r="A20" s="14" t="inlineStr">
        <is>
          <t>Check: grid outstanding vs TB code LTB</t>
        </is>
      </c>
      <c r="I20" s="45">
        <f>I18-(-Calc!$B$4)</f>
        <v/>
      </c>
      <c r="J20" s="7" t="inlineStr">
        <is>
          <t>Must be zero</t>
        </is>
      </c>
    </row>
    <row r="21"/>
    <row r="22">
      <c r="A22" s="14" t="inlineStr">
        <is>
          <t>Carry to Balance Sheet:</t>
        </is>
      </c>
    </row>
    <row r="23">
      <c r="A23" s="4" t="inlineStr">
        <is>
          <t>Long-term borrowings (non-current)</t>
        </is>
      </c>
      <c r="I23" s="43">
        <f>K18</f>
        <v/>
      </c>
    </row>
    <row r="24">
      <c r="A24" s="4" t="inlineStr">
        <is>
          <t>Current maturities of long-term borrowings (under Short-term borrowings)</t>
        </is>
      </c>
      <c r="I24" s="43">
        <f>J18</f>
        <v/>
      </c>
    </row>
    <row r="25">
      <c r="A25" s="4" t="inlineStr">
        <is>
          <t>Interest accrued but not due (under Other current liabilities - ensure it is in your OCL balance)</t>
        </is>
      </c>
      <c r="I25" s="43">
        <f>L18</f>
        <v/>
      </c>
    </row>
    <row r="26"/>
    <row r="27">
      <c r="A27" s="4" t="inlineStr">
        <is>
          <t>Previous year current maturities (enter from last year FS, Rs)</t>
        </is>
      </c>
      <c r="I27" s="42" t="n">
        <v>0</v>
      </c>
    </row>
  </sheetData>
  <sheetProtection selectLockedCells="0" selectUnlockedCells="0" sheet="1" objects="0" insertRows="0" insertHyperlinks="1" autoFilter="0" scenarios="0" formatColumns="0" deleteColumns="1" insertColumns="1" pivotTables="1" deleteRows="0" formatCells="1" formatRows="0" sort="0" password="BBBC"/>
  <dataValidations count="2">
    <dataValidation sqref="B6:B17" showDropDown="0" showInputMessage="0" showErrorMessage="0" allowBlank="1" type="list">
      <formula1>"Yes,No"</formula1>
    </dataValidation>
    <dataValidation sqref="E6:E17" showDropDown="0" showInputMessage="0" showErrorMessage="0" allowBlank="1" type="list">
      <formula1>"EMI,Equal principal,Bullet"</formula1>
    </dataValidation>
  </dataValidations>
  <pageMargins left="0.75" right="0.75" top="1" bottom="1" header="0.5" footer="0.5"/>
</worksheet>
</file>

<file path=xl/worksheets/sheet8.xml><?xml version="1.0" encoding="utf-8"?>
<worksheet xmlns="http://schemas.openxmlformats.org/spreadsheetml/2006/main">
  <sheetPr>
    <tabColor rgb="001E3A8A"/>
    <outlinePr summaryBelow="1" summaryRight="1"/>
    <pageSetUpPr/>
  </sheetPr>
  <dimension ref="A1:Q252"/>
  <sheetViews>
    <sheetView showGridLines="0" workbookViewId="0">
      <selection activeCell="A1" sqref="A1"/>
    </sheetView>
  </sheetViews>
  <sheetFormatPr baseColWidth="8" defaultRowHeight="15"/>
  <cols>
    <col width="26" customWidth="1" min="1" max="1"/>
    <col width="13" customWidth="1" min="2" max="2"/>
    <col width="14" customWidth="1" min="3" max="3"/>
    <col width="10" customWidth="1" min="4" max="4"/>
    <col width="10" customWidth="1" min="5" max="5"/>
    <col width="10" customWidth="1" min="6" max="6"/>
    <col width="10" customWidth="1" min="7" max="7"/>
    <col width="3" customWidth="1" min="8" max="8"/>
    <col width="30" customWidth="1" min="9" max="9"/>
    <col width="12" customWidth="1" min="10" max="10"/>
    <col width="12" customWidth="1" min="11" max="11"/>
    <col width="12" customWidth="1" min="12" max="12"/>
    <col width="12" customWidth="1" min="13" max="13"/>
    <col width="12" customWidth="1" min="14" max="14"/>
    <col width="12" customWidth="1" min="15" max="15"/>
    <col width="12" customWidth="1" min="16" max="16"/>
    <col width="13" customWidth="1" min="17" max="17"/>
  </cols>
  <sheetData>
    <row r="1"/>
    <row r="2">
      <c r="A2" s="3" t="inlineStr">
        <is>
          <t>Ageing schedules - trade receivables and trade payables</t>
        </is>
      </c>
    </row>
    <row r="3">
      <c r="A3" s="7" t="inlineStr">
        <is>
          <t>Fill the detail grids in rupees; the Schedule III bucket tables build themselves against the balance sheet date. Flags: Y = yes, blank/N = no. "Unbilled" and "Not due" rows are excluded from the age buckets.</t>
        </is>
      </c>
    </row>
    <row r="4"/>
    <row r="5">
      <c r="A5" s="5" t="inlineStr">
        <is>
          <t>Trade receivables - detail</t>
        </is>
      </c>
      <c r="I5" s="5" t="inlineStr">
        <is>
          <t>Receivables ageing (Schedule III) - in rounding units</t>
        </is>
      </c>
    </row>
    <row r="6">
      <c r="A6" s="12" t="inlineStr">
        <is>
          <t>Party</t>
        </is>
      </c>
      <c r="B6" s="12" t="inlineStr">
        <is>
          <t>Invoice date</t>
        </is>
      </c>
      <c r="C6" s="12" t="inlineStr">
        <is>
          <t>Amount (Rs)</t>
        </is>
      </c>
      <c r="D6" s="12" t="inlineStr">
        <is>
          <t>Disputed?</t>
        </is>
      </c>
      <c r="E6" s="12" t="inlineStr">
        <is>
          <t>Doubtful?</t>
        </is>
      </c>
      <c r="F6" s="12" t="inlineStr">
        <is>
          <t>Unbilled?</t>
        </is>
      </c>
      <c r="G6" s="12" t="inlineStr">
        <is>
          <t>Not due?</t>
        </is>
      </c>
      <c r="I6" s="12" t="inlineStr">
        <is>
          <t>Particulars</t>
        </is>
      </c>
      <c r="J6" s="12" t="inlineStr">
        <is>
          <t>Unbilled</t>
        </is>
      </c>
      <c r="K6" s="12" t="inlineStr">
        <is>
          <t>Not due</t>
        </is>
      </c>
      <c r="L6" s="12" t="inlineStr">
        <is>
          <t>&lt; 6 months</t>
        </is>
      </c>
      <c r="M6" s="12" t="inlineStr">
        <is>
          <t>6 m - 1 year</t>
        </is>
      </c>
      <c r="N6" s="12" t="inlineStr">
        <is>
          <t>1-2 years</t>
        </is>
      </c>
      <c r="O6" s="12" t="inlineStr">
        <is>
          <t>2-3 years</t>
        </is>
      </c>
      <c r="P6" s="12" t="inlineStr">
        <is>
          <t>&gt; 3 years</t>
        </is>
      </c>
      <c r="Q6" s="12" t="inlineStr">
        <is>
          <t>Total</t>
        </is>
      </c>
    </row>
    <row r="7">
      <c r="A7" s="40" t="n"/>
      <c r="B7" s="41" t="n"/>
      <c r="C7" s="42" t="n"/>
      <c r="D7" s="40" t="n"/>
      <c r="E7" s="40" t="n"/>
      <c r="F7" s="40" t="n"/>
      <c r="G7" s="40" t="n"/>
      <c r="I7" s="11" t="inlineStr">
        <is>
          <t>Undisputed - considered good</t>
        </is>
      </c>
      <c r="J7" s="47">
        <f>SUMPRODUCT((Ageing!$D$7:$D$126&lt;&gt;"Y")*(Ageing!$E$7:$E$126&lt;&gt;"Y")*(Ageing!$F$7:$F$126="Y")*Ageing!$C$7:$C$126)/RND</f>
        <v/>
      </c>
      <c r="K7" s="47">
        <f>SUMPRODUCT((Ageing!$D$7:$D$126&lt;&gt;"Y")*(Ageing!$E$7:$E$126&lt;&gt;"Y")*(Ageing!$F$7:$F$126&lt;&gt;"Y")*(Ageing!$G$7:$G$126="Y")*Ageing!$C$7:$C$126)/RND</f>
        <v/>
      </c>
      <c r="L7" s="47">
        <f>SUMPRODUCT((Ageing!$D$7:$D$126&lt;&gt;"Y")*(Ageing!$E$7:$E$126&lt;&gt;"Y")*(Ageing!$F$7:$F$126&lt;&gt;"Y")*(Ageing!$G$7:$G$126&lt;&gt;"Y")*(BSD-Ageing!$B$7:$B$126&lt;=182)*(Ageing!$B$7:$B$126&lt;&gt;"")*Ageing!$C$7:$C$126)/RND</f>
        <v/>
      </c>
      <c r="M7" s="47">
        <f>SUMPRODUCT((Ageing!$D$7:$D$126&lt;&gt;"Y")*(Ageing!$E$7:$E$126&lt;&gt;"Y")*(Ageing!$F$7:$F$126&lt;&gt;"Y")*(Ageing!$G$7:$G$126&lt;&gt;"Y")*(BSD-Ageing!$B$7:$B$126&gt;182)*(BSD-Ageing!$B$7:$B$126&lt;=365)*Ageing!$C$7:$C$126)/RND</f>
        <v/>
      </c>
      <c r="N7" s="47">
        <f>SUMPRODUCT((Ageing!$D$7:$D$126&lt;&gt;"Y")*(Ageing!$E$7:$E$126&lt;&gt;"Y")*(Ageing!$F$7:$F$126&lt;&gt;"Y")*(Ageing!$G$7:$G$126&lt;&gt;"Y")*(BSD-Ageing!$B$7:$B$126&gt;365)*(BSD-Ageing!$B$7:$B$126&lt;=730)*Ageing!$C$7:$C$126)/RND</f>
        <v/>
      </c>
      <c r="O7" s="47">
        <f>SUMPRODUCT((Ageing!$D$7:$D$126&lt;&gt;"Y")*(Ageing!$E$7:$E$126&lt;&gt;"Y")*(Ageing!$F$7:$F$126&lt;&gt;"Y")*(Ageing!$G$7:$G$126&lt;&gt;"Y")*(BSD-Ageing!$B$7:$B$126&gt;730)*(BSD-Ageing!$B$7:$B$126&lt;=1095)*Ageing!$C$7:$C$126)/RND</f>
        <v/>
      </c>
      <c r="P7" s="47">
        <f>SUMPRODUCT((Ageing!$D$7:$D$126&lt;&gt;"Y")*(Ageing!$E$7:$E$126&lt;&gt;"Y")*(Ageing!$F$7:$F$126&lt;&gt;"Y")*(Ageing!$G$7:$G$126&lt;&gt;"Y")*(BSD-Ageing!$B$7:$B$126&gt;1095)*(Ageing!$B$7:$B$126&lt;&gt;"")*Ageing!$C$7:$C$126)/RND</f>
        <v/>
      </c>
      <c r="Q7" s="48">
        <f>SUM(J7:P7)</f>
        <v/>
      </c>
    </row>
    <row r="8">
      <c r="A8" s="40" t="n"/>
      <c r="B8" s="41" t="n"/>
      <c r="C8" s="42" t="n"/>
      <c r="D8" s="40" t="n"/>
      <c r="E8" s="40" t="n"/>
      <c r="F8" s="40" t="n"/>
      <c r="G8" s="40" t="n"/>
      <c r="I8" s="11" t="inlineStr">
        <is>
          <t>Undisputed - considered doubtful</t>
        </is>
      </c>
      <c r="J8" s="47">
        <f>SUMPRODUCT((Ageing!$D$7:$D$126&lt;&gt;"Y")*(Ageing!$E$7:$E$126="Y")*(Ageing!$F$7:$F$126="Y")*Ageing!$C$7:$C$126)/RND</f>
        <v/>
      </c>
      <c r="K8" s="47">
        <f>SUMPRODUCT((Ageing!$D$7:$D$126&lt;&gt;"Y")*(Ageing!$E$7:$E$126="Y")*(Ageing!$F$7:$F$126&lt;&gt;"Y")*(Ageing!$G$7:$G$126="Y")*Ageing!$C$7:$C$126)/RND</f>
        <v/>
      </c>
      <c r="L8" s="47">
        <f>SUMPRODUCT((Ageing!$D$7:$D$126&lt;&gt;"Y")*(Ageing!$E$7:$E$126="Y")*(Ageing!$F$7:$F$126&lt;&gt;"Y")*(Ageing!$G$7:$G$126&lt;&gt;"Y")*(BSD-Ageing!$B$7:$B$126&lt;=182)*(Ageing!$B$7:$B$126&lt;&gt;"")*Ageing!$C$7:$C$126)/RND</f>
        <v/>
      </c>
      <c r="M8" s="47">
        <f>SUMPRODUCT((Ageing!$D$7:$D$126&lt;&gt;"Y")*(Ageing!$E$7:$E$126="Y")*(Ageing!$F$7:$F$126&lt;&gt;"Y")*(Ageing!$G$7:$G$126&lt;&gt;"Y")*(BSD-Ageing!$B$7:$B$126&gt;182)*(BSD-Ageing!$B$7:$B$126&lt;=365)*Ageing!$C$7:$C$126)/RND</f>
        <v/>
      </c>
      <c r="N8" s="47">
        <f>SUMPRODUCT((Ageing!$D$7:$D$126&lt;&gt;"Y")*(Ageing!$E$7:$E$126="Y")*(Ageing!$F$7:$F$126&lt;&gt;"Y")*(Ageing!$G$7:$G$126&lt;&gt;"Y")*(BSD-Ageing!$B$7:$B$126&gt;365)*(BSD-Ageing!$B$7:$B$126&lt;=730)*Ageing!$C$7:$C$126)/RND</f>
        <v/>
      </c>
      <c r="O8" s="47">
        <f>SUMPRODUCT((Ageing!$D$7:$D$126&lt;&gt;"Y")*(Ageing!$E$7:$E$126="Y")*(Ageing!$F$7:$F$126&lt;&gt;"Y")*(Ageing!$G$7:$G$126&lt;&gt;"Y")*(BSD-Ageing!$B$7:$B$126&gt;730)*(BSD-Ageing!$B$7:$B$126&lt;=1095)*Ageing!$C$7:$C$126)/RND</f>
        <v/>
      </c>
      <c r="P8" s="47">
        <f>SUMPRODUCT((Ageing!$D$7:$D$126&lt;&gt;"Y")*(Ageing!$E$7:$E$126="Y")*(Ageing!$F$7:$F$126&lt;&gt;"Y")*(Ageing!$G$7:$G$126&lt;&gt;"Y")*(BSD-Ageing!$B$7:$B$126&gt;1095)*(Ageing!$B$7:$B$126&lt;&gt;"")*Ageing!$C$7:$C$126)/RND</f>
        <v/>
      </c>
      <c r="Q8" s="48">
        <f>SUM(J8:P8)</f>
        <v/>
      </c>
    </row>
    <row r="9">
      <c r="A9" s="40" t="n"/>
      <c r="B9" s="41" t="n"/>
      <c r="C9" s="42" t="n"/>
      <c r="D9" s="40" t="n"/>
      <c r="E9" s="40" t="n"/>
      <c r="F9" s="40" t="n"/>
      <c r="G9" s="40" t="n"/>
      <c r="I9" s="11" t="inlineStr">
        <is>
          <t>Disputed - considered good</t>
        </is>
      </c>
      <c r="J9" s="47">
        <f>SUMPRODUCT((Ageing!$D$7:$D$126="Y")*(Ageing!$E$7:$E$126&lt;&gt;"Y")*(Ageing!$F$7:$F$126="Y")*Ageing!$C$7:$C$126)/RND</f>
        <v/>
      </c>
      <c r="K9" s="47">
        <f>SUMPRODUCT((Ageing!$D$7:$D$126="Y")*(Ageing!$E$7:$E$126&lt;&gt;"Y")*(Ageing!$F$7:$F$126&lt;&gt;"Y")*(Ageing!$G$7:$G$126="Y")*Ageing!$C$7:$C$126)/RND</f>
        <v/>
      </c>
      <c r="L9" s="47">
        <f>SUMPRODUCT((Ageing!$D$7:$D$126="Y")*(Ageing!$E$7:$E$126&lt;&gt;"Y")*(Ageing!$F$7:$F$126&lt;&gt;"Y")*(Ageing!$G$7:$G$126&lt;&gt;"Y")*(BSD-Ageing!$B$7:$B$126&lt;=182)*(Ageing!$B$7:$B$126&lt;&gt;"")*Ageing!$C$7:$C$126)/RND</f>
        <v/>
      </c>
      <c r="M9" s="47">
        <f>SUMPRODUCT((Ageing!$D$7:$D$126="Y")*(Ageing!$E$7:$E$126&lt;&gt;"Y")*(Ageing!$F$7:$F$126&lt;&gt;"Y")*(Ageing!$G$7:$G$126&lt;&gt;"Y")*(BSD-Ageing!$B$7:$B$126&gt;182)*(BSD-Ageing!$B$7:$B$126&lt;=365)*Ageing!$C$7:$C$126)/RND</f>
        <v/>
      </c>
      <c r="N9" s="47">
        <f>SUMPRODUCT((Ageing!$D$7:$D$126="Y")*(Ageing!$E$7:$E$126&lt;&gt;"Y")*(Ageing!$F$7:$F$126&lt;&gt;"Y")*(Ageing!$G$7:$G$126&lt;&gt;"Y")*(BSD-Ageing!$B$7:$B$126&gt;365)*(BSD-Ageing!$B$7:$B$126&lt;=730)*Ageing!$C$7:$C$126)/RND</f>
        <v/>
      </c>
      <c r="O9" s="47">
        <f>SUMPRODUCT((Ageing!$D$7:$D$126="Y")*(Ageing!$E$7:$E$126&lt;&gt;"Y")*(Ageing!$F$7:$F$126&lt;&gt;"Y")*(Ageing!$G$7:$G$126&lt;&gt;"Y")*(BSD-Ageing!$B$7:$B$126&gt;730)*(BSD-Ageing!$B$7:$B$126&lt;=1095)*Ageing!$C$7:$C$126)/RND</f>
        <v/>
      </c>
      <c r="P9" s="47">
        <f>SUMPRODUCT((Ageing!$D$7:$D$126="Y")*(Ageing!$E$7:$E$126&lt;&gt;"Y")*(Ageing!$F$7:$F$126&lt;&gt;"Y")*(Ageing!$G$7:$G$126&lt;&gt;"Y")*(BSD-Ageing!$B$7:$B$126&gt;1095)*(Ageing!$B$7:$B$126&lt;&gt;"")*Ageing!$C$7:$C$126)/RND</f>
        <v/>
      </c>
      <c r="Q9" s="48">
        <f>SUM(J9:P9)</f>
        <v/>
      </c>
    </row>
    <row r="10">
      <c r="A10" s="40" t="n"/>
      <c r="B10" s="41" t="n"/>
      <c r="C10" s="42" t="n"/>
      <c r="D10" s="40" t="n"/>
      <c r="E10" s="40" t="n"/>
      <c r="F10" s="40" t="n"/>
      <c r="G10" s="40" t="n"/>
      <c r="I10" s="11" t="inlineStr">
        <is>
          <t>Disputed - considered doubtful</t>
        </is>
      </c>
      <c r="J10" s="47">
        <f>SUMPRODUCT((Ageing!$D$7:$D$126="Y")*(Ageing!$E$7:$E$126="Y")*(Ageing!$F$7:$F$126="Y")*Ageing!$C$7:$C$126)/RND</f>
        <v/>
      </c>
      <c r="K10" s="47">
        <f>SUMPRODUCT((Ageing!$D$7:$D$126="Y")*(Ageing!$E$7:$E$126="Y")*(Ageing!$F$7:$F$126&lt;&gt;"Y")*(Ageing!$G$7:$G$126="Y")*Ageing!$C$7:$C$126)/RND</f>
        <v/>
      </c>
      <c r="L10" s="47">
        <f>SUMPRODUCT((Ageing!$D$7:$D$126="Y")*(Ageing!$E$7:$E$126="Y")*(Ageing!$F$7:$F$126&lt;&gt;"Y")*(Ageing!$G$7:$G$126&lt;&gt;"Y")*(BSD-Ageing!$B$7:$B$126&lt;=182)*(Ageing!$B$7:$B$126&lt;&gt;"")*Ageing!$C$7:$C$126)/RND</f>
        <v/>
      </c>
      <c r="M10" s="47">
        <f>SUMPRODUCT((Ageing!$D$7:$D$126="Y")*(Ageing!$E$7:$E$126="Y")*(Ageing!$F$7:$F$126&lt;&gt;"Y")*(Ageing!$G$7:$G$126&lt;&gt;"Y")*(BSD-Ageing!$B$7:$B$126&gt;182)*(BSD-Ageing!$B$7:$B$126&lt;=365)*Ageing!$C$7:$C$126)/RND</f>
        <v/>
      </c>
      <c r="N10" s="47">
        <f>SUMPRODUCT((Ageing!$D$7:$D$126="Y")*(Ageing!$E$7:$E$126="Y")*(Ageing!$F$7:$F$126&lt;&gt;"Y")*(Ageing!$G$7:$G$126&lt;&gt;"Y")*(BSD-Ageing!$B$7:$B$126&gt;365)*(BSD-Ageing!$B$7:$B$126&lt;=730)*Ageing!$C$7:$C$126)/RND</f>
        <v/>
      </c>
      <c r="O10" s="47">
        <f>SUMPRODUCT((Ageing!$D$7:$D$126="Y")*(Ageing!$E$7:$E$126="Y")*(Ageing!$F$7:$F$126&lt;&gt;"Y")*(Ageing!$G$7:$G$126&lt;&gt;"Y")*(BSD-Ageing!$B$7:$B$126&gt;730)*(BSD-Ageing!$B$7:$B$126&lt;=1095)*Ageing!$C$7:$C$126)/RND</f>
        <v/>
      </c>
      <c r="P10" s="47">
        <f>SUMPRODUCT((Ageing!$D$7:$D$126="Y")*(Ageing!$E$7:$E$126="Y")*(Ageing!$F$7:$F$126&lt;&gt;"Y")*(Ageing!$G$7:$G$126&lt;&gt;"Y")*(BSD-Ageing!$B$7:$B$126&gt;1095)*(Ageing!$B$7:$B$126&lt;&gt;"")*Ageing!$C$7:$C$126)/RND</f>
        <v/>
      </c>
      <c r="Q10" s="48">
        <f>SUM(J10:P10)</f>
        <v/>
      </c>
    </row>
    <row r="11">
      <c r="A11" s="40" t="n"/>
      <c r="B11" s="41" t="n"/>
      <c r="C11" s="42" t="n"/>
      <c r="D11" s="40" t="n"/>
      <c r="E11" s="40" t="n"/>
      <c r="F11" s="40" t="n"/>
      <c r="G11" s="40" t="n"/>
      <c r="I11" s="14" t="inlineStr">
        <is>
          <t>Total</t>
        </is>
      </c>
      <c r="J11" s="49">
        <f>SUM(J7:J10)</f>
        <v/>
      </c>
      <c r="K11" s="49">
        <f>SUM(K7:K10)</f>
        <v/>
      </c>
      <c r="L11" s="49">
        <f>SUM(L7:L10)</f>
        <v/>
      </c>
      <c r="M11" s="49">
        <f>SUM(M7:M10)</f>
        <v/>
      </c>
      <c r="N11" s="49">
        <f>SUM(N7:N10)</f>
        <v/>
      </c>
      <c r="O11" s="49">
        <f>SUM(O7:O10)</f>
        <v/>
      </c>
      <c r="P11" s="49">
        <f>SUM(P7:P10)</f>
        <v/>
      </c>
      <c r="Q11" s="49">
        <f>SUM(Q7:Q10)</f>
        <v/>
      </c>
    </row>
    <row r="12">
      <c r="A12" s="40" t="n"/>
      <c r="B12" s="41" t="n"/>
      <c r="C12" s="42" t="n"/>
      <c r="D12" s="40" t="n"/>
      <c r="E12" s="40" t="n"/>
      <c r="F12" s="40" t="n"/>
      <c r="G12" s="40" t="n"/>
    </row>
    <row r="13">
      <c r="A13" s="40" t="n"/>
      <c r="B13" s="41" t="n"/>
      <c r="C13" s="42" t="n"/>
      <c r="D13" s="40" t="n"/>
      <c r="E13" s="40" t="n"/>
      <c r="F13" s="40" t="n"/>
      <c r="G13" s="40" t="n"/>
      <c r="I13" s="14" t="inlineStr">
        <is>
          <t>Check vs TB trade receivables</t>
        </is>
      </c>
      <c r="Q13" s="48">
        <f>Q11-Calc!$B$23/RND</f>
        <v/>
      </c>
    </row>
    <row r="14">
      <c r="A14" s="40" t="n"/>
      <c r="B14" s="41" t="n"/>
      <c r="C14" s="42" t="n"/>
      <c r="D14" s="40" t="n"/>
      <c r="E14" s="40" t="n"/>
      <c r="F14" s="40" t="n"/>
      <c r="G14" s="40" t="n"/>
    </row>
    <row r="15">
      <c r="A15" s="40" t="n"/>
      <c r="B15" s="41" t="n"/>
      <c r="C15" s="42" t="n"/>
      <c r="D15" s="40" t="n"/>
      <c r="E15" s="40" t="n"/>
      <c r="F15" s="40" t="n"/>
      <c r="G15" s="40" t="n"/>
    </row>
    <row r="16">
      <c r="A16" s="40" t="n"/>
      <c r="B16" s="41" t="n"/>
      <c r="C16" s="42" t="n"/>
      <c r="D16" s="40" t="n"/>
      <c r="E16" s="40" t="n"/>
      <c r="F16" s="40" t="n"/>
      <c r="G16" s="40" t="n"/>
    </row>
    <row r="17">
      <c r="A17" s="40" t="n"/>
      <c r="B17" s="41" t="n"/>
      <c r="C17" s="42" t="n"/>
      <c r="D17" s="40" t="n"/>
      <c r="E17" s="40" t="n"/>
      <c r="F17" s="40" t="n"/>
      <c r="G17" s="40" t="n"/>
    </row>
    <row r="18">
      <c r="A18" s="40" t="n"/>
      <c r="B18" s="41" t="n"/>
      <c r="C18" s="42" t="n"/>
      <c r="D18" s="40" t="n"/>
      <c r="E18" s="40" t="n"/>
      <c r="F18" s="40" t="n"/>
      <c r="G18" s="40" t="n"/>
    </row>
    <row r="19">
      <c r="A19" s="40" t="n"/>
      <c r="B19" s="41" t="n"/>
      <c r="C19" s="42" t="n"/>
      <c r="D19" s="40" t="n"/>
      <c r="E19" s="40" t="n"/>
      <c r="F19" s="40" t="n"/>
      <c r="G19" s="40" t="n"/>
    </row>
    <row r="20">
      <c r="A20" s="40" t="n"/>
      <c r="B20" s="41" t="n"/>
      <c r="C20" s="42" t="n"/>
      <c r="D20" s="40" t="n"/>
      <c r="E20" s="40" t="n"/>
      <c r="F20" s="40" t="n"/>
      <c r="G20" s="40" t="n"/>
    </row>
    <row r="21">
      <c r="A21" s="40" t="n"/>
      <c r="B21" s="41" t="n"/>
      <c r="C21" s="42" t="n"/>
      <c r="D21" s="40" t="n"/>
      <c r="E21" s="40" t="n"/>
      <c r="F21" s="40" t="n"/>
      <c r="G21" s="40" t="n"/>
    </row>
    <row r="22">
      <c r="A22" s="40" t="n"/>
      <c r="B22" s="41" t="n"/>
      <c r="C22" s="42" t="n"/>
      <c r="D22" s="40" t="n"/>
      <c r="E22" s="40" t="n"/>
      <c r="F22" s="40" t="n"/>
      <c r="G22" s="40" t="n"/>
    </row>
    <row r="23">
      <c r="A23" s="40" t="n"/>
      <c r="B23" s="41" t="n"/>
      <c r="C23" s="42" t="n"/>
      <c r="D23" s="40" t="n"/>
      <c r="E23" s="40" t="n"/>
      <c r="F23" s="40" t="n"/>
      <c r="G23" s="40" t="n"/>
    </row>
    <row r="24">
      <c r="A24" s="40" t="n"/>
      <c r="B24" s="41" t="n"/>
      <c r="C24" s="42" t="n"/>
      <c r="D24" s="40" t="n"/>
      <c r="E24" s="40" t="n"/>
      <c r="F24" s="40" t="n"/>
      <c r="G24" s="40" t="n"/>
    </row>
    <row r="25">
      <c r="A25" s="40" t="n"/>
      <c r="B25" s="41" t="n"/>
      <c r="C25" s="42" t="n"/>
      <c r="D25" s="40" t="n"/>
      <c r="E25" s="40" t="n"/>
      <c r="F25" s="40" t="n"/>
      <c r="G25" s="40" t="n"/>
    </row>
    <row r="26">
      <c r="A26" s="40" t="n"/>
      <c r="B26" s="41" t="n"/>
      <c r="C26" s="42" t="n"/>
      <c r="D26" s="40" t="n"/>
      <c r="E26" s="40" t="n"/>
      <c r="F26" s="40" t="n"/>
      <c r="G26" s="40" t="n"/>
    </row>
    <row r="27">
      <c r="A27" s="40" t="n"/>
      <c r="B27" s="41" t="n"/>
      <c r="C27" s="42" t="n"/>
      <c r="D27" s="40" t="n"/>
      <c r="E27" s="40" t="n"/>
      <c r="F27" s="40" t="n"/>
      <c r="G27" s="40" t="n"/>
    </row>
    <row r="28">
      <c r="A28" s="40" t="n"/>
      <c r="B28" s="41" t="n"/>
      <c r="C28" s="42" t="n"/>
      <c r="D28" s="40" t="n"/>
      <c r="E28" s="40" t="n"/>
      <c r="F28" s="40" t="n"/>
      <c r="G28" s="40" t="n"/>
    </row>
    <row r="29">
      <c r="A29" s="40" t="n"/>
      <c r="B29" s="41" t="n"/>
      <c r="C29" s="42" t="n"/>
      <c r="D29" s="40" t="n"/>
      <c r="E29" s="40" t="n"/>
      <c r="F29" s="40" t="n"/>
      <c r="G29" s="40" t="n"/>
    </row>
    <row r="30">
      <c r="A30" s="40" t="n"/>
      <c r="B30" s="41" t="n"/>
      <c r="C30" s="42" t="n"/>
      <c r="D30" s="40" t="n"/>
      <c r="E30" s="40" t="n"/>
      <c r="F30" s="40" t="n"/>
      <c r="G30" s="40" t="n"/>
    </row>
    <row r="31">
      <c r="A31" s="40" t="n"/>
      <c r="B31" s="41" t="n"/>
      <c r="C31" s="42" t="n"/>
      <c r="D31" s="40" t="n"/>
      <c r="E31" s="40" t="n"/>
      <c r="F31" s="40" t="n"/>
      <c r="G31" s="40" t="n"/>
    </row>
    <row r="32">
      <c r="A32" s="40" t="n"/>
      <c r="B32" s="41" t="n"/>
      <c r="C32" s="42" t="n"/>
      <c r="D32" s="40" t="n"/>
      <c r="E32" s="40" t="n"/>
      <c r="F32" s="40" t="n"/>
      <c r="G32" s="40" t="n"/>
    </row>
    <row r="33">
      <c r="A33" s="40" t="n"/>
      <c r="B33" s="41" t="n"/>
      <c r="C33" s="42" t="n"/>
      <c r="D33" s="40" t="n"/>
      <c r="E33" s="40" t="n"/>
      <c r="F33" s="40" t="n"/>
      <c r="G33" s="40" t="n"/>
    </row>
    <row r="34">
      <c r="A34" s="40" t="n"/>
      <c r="B34" s="41" t="n"/>
      <c r="C34" s="42" t="n"/>
      <c r="D34" s="40" t="n"/>
      <c r="E34" s="40" t="n"/>
      <c r="F34" s="40" t="n"/>
      <c r="G34" s="40" t="n"/>
    </row>
    <row r="35">
      <c r="A35" s="40" t="n"/>
      <c r="B35" s="41" t="n"/>
      <c r="C35" s="42" t="n"/>
      <c r="D35" s="40" t="n"/>
      <c r="E35" s="40" t="n"/>
      <c r="F35" s="40" t="n"/>
      <c r="G35" s="40" t="n"/>
    </row>
    <row r="36">
      <c r="A36" s="40" t="n"/>
      <c r="B36" s="41" t="n"/>
      <c r="C36" s="42" t="n"/>
      <c r="D36" s="40" t="n"/>
      <c r="E36" s="40" t="n"/>
      <c r="F36" s="40" t="n"/>
      <c r="G36" s="40" t="n"/>
    </row>
    <row r="37">
      <c r="A37" s="40" t="n"/>
      <c r="B37" s="41" t="n"/>
      <c r="C37" s="42" t="n"/>
      <c r="D37" s="40" t="n"/>
      <c r="E37" s="40" t="n"/>
      <c r="F37" s="40" t="n"/>
      <c r="G37" s="40" t="n"/>
    </row>
    <row r="38">
      <c r="A38" s="40" t="n"/>
      <c r="B38" s="41" t="n"/>
      <c r="C38" s="42" t="n"/>
      <c r="D38" s="40" t="n"/>
      <c r="E38" s="40" t="n"/>
      <c r="F38" s="40" t="n"/>
      <c r="G38" s="40" t="n"/>
    </row>
    <row r="39">
      <c r="A39" s="40" t="n"/>
      <c r="B39" s="41" t="n"/>
      <c r="C39" s="42" t="n"/>
      <c r="D39" s="40" t="n"/>
      <c r="E39" s="40" t="n"/>
      <c r="F39" s="40" t="n"/>
      <c r="G39" s="40" t="n"/>
    </row>
    <row r="40">
      <c r="A40" s="40" t="n"/>
      <c r="B40" s="41" t="n"/>
      <c r="C40" s="42" t="n"/>
      <c r="D40" s="40" t="n"/>
      <c r="E40" s="40" t="n"/>
      <c r="F40" s="40" t="n"/>
      <c r="G40" s="40" t="n"/>
    </row>
    <row r="41">
      <c r="A41" s="40" t="n"/>
      <c r="B41" s="41" t="n"/>
      <c r="C41" s="42" t="n"/>
      <c r="D41" s="40" t="n"/>
      <c r="E41" s="40" t="n"/>
      <c r="F41" s="40" t="n"/>
      <c r="G41" s="40" t="n"/>
    </row>
    <row r="42">
      <c r="A42" s="40" t="n"/>
      <c r="B42" s="41" t="n"/>
      <c r="C42" s="42" t="n"/>
      <c r="D42" s="40" t="n"/>
      <c r="E42" s="40" t="n"/>
      <c r="F42" s="40" t="n"/>
      <c r="G42" s="40" t="n"/>
    </row>
    <row r="43">
      <c r="A43" s="40" t="n"/>
      <c r="B43" s="41" t="n"/>
      <c r="C43" s="42" t="n"/>
      <c r="D43" s="40" t="n"/>
      <c r="E43" s="40" t="n"/>
      <c r="F43" s="40" t="n"/>
      <c r="G43" s="40" t="n"/>
    </row>
    <row r="44">
      <c r="A44" s="40" t="n"/>
      <c r="B44" s="41" t="n"/>
      <c r="C44" s="42" t="n"/>
      <c r="D44" s="40" t="n"/>
      <c r="E44" s="40" t="n"/>
      <c r="F44" s="40" t="n"/>
      <c r="G44" s="40" t="n"/>
    </row>
    <row r="45">
      <c r="A45" s="40" t="n"/>
      <c r="B45" s="41" t="n"/>
      <c r="C45" s="42" t="n"/>
      <c r="D45" s="40" t="n"/>
      <c r="E45" s="40" t="n"/>
      <c r="F45" s="40" t="n"/>
      <c r="G45" s="40" t="n"/>
    </row>
    <row r="46">
      <c r="A46" s="40" t="n"/>
      <c r="B46" s="41" t="n"/>
      <c r="C46" s="42" t="n"/>
      <c r="D46" s="40" t="n"/>
      <c r="E46" s="40" t="n"/>
      <c r="F46" s="40" t="n"/>
      <c r="G46" s="40" t="n"/>
    </row>
    <row r="47">
      <c r="A47" s="40" t="n"/>
      <c r="B47" s="41" t="n"/>
      <c r="C47" s="42" t="n"/>
      <c r="D47" s="40" t="n"/>
      <c r="E47" s="40" t="n"/>
      <c r="F47" s="40" t="n"/>
      <c r="G47" s="40" t="n"/>
    </row>
    <row r="48">
      <c r="A48" s="40" t="n"/>
      <c r="B48" s="41" t="n"/>
      <c r="C48" s="42" t="n"/>
      <c r="D48" s="40" t="n"/>
      <c r="E48" s="40" t="n"/>
      <c r="F48" s="40" t="n"/>
      <c r="G48" s="40" t="n"/>
    </row>
    <row r="49">
      <c r="A49" s="40" t="n"/>
      <c r="B49" s="41" t="n"/>
      <c r="C49" s="42" t="n"/>
      <c r="D49" s="40" t="n"/>
      <c r="E49" s="40" t="n"/>
      <c r="F49" s="40" t="n"/>
      <c r="G49" s="40" t="n"/>
    </row>
    <row r="50">
      <c r="A50" s="40" t="n"/>
      <c r="B50" s="41" t="n"/>
      <c r="C50" s="42" t="n"/>
      <c r="D50" s="40" t="n"/>
      <c r="E50" s="40" t="n"/>
      <c r="F50" s="40" t="n"/>
      <c r="G50" s="40" t="n"/>
    </row>
    <row r="51">
      <c r="A51" s="40" t="n"/>
      <c r="B51" s="41" t="n"/>
      <c r="C51" s="42" t="n"/>
      <c r="D51" s="40" t="n"/>
      <c r="E51" s="40" t="n"/>
      <c r="F51" s="40" t="n"/>
      <c r="G51" s="40" t="n"/>
    </row>
    <row r="52">
      <c r="A52" s="40" t="n"/>
      <c r="B52" s="41" t="n"/>
      <c r="C52" s="42" t="n"/>
      <c r="D52" s="40" t="n"/>
      <c r="E52" s="40" t="n"/>
      <c r="F52" s="40" t="n"/>
      <c r="G52" s="40" t="n"/>
    </row>
    <row r="53">
      <c r="A53" s="40" t="n"/>
      <c r="B53" s="41" t="n"/>
      <c r="C53" s="42" t="n"/>
      <c r="D53" s="40" t="n"/>
      <c r="E53" s="40" t="n"/>
      <c r="F53" s="40" t="n"/>
      <c r="G53" s="40" t="n"/>
    </row>
    <row r="54">
      <c r="A54" s="40" t="n"/>
      <c r="B54" s="41" t="n"/>
      <c r="C54" s="42" t="n"/>
      <c r="D54" s="40" t="n"/>
      <c r="E54" s="40" t="n"/>
      <c r="F54" s="40" t="n"/>
      <c r="G54" s="40" t="n"/>
    </row>
    <row r="55">
      <c r="A55" s="40" t="n"/>
      <c r="B55" s="41" t="n"/>
      <c r="C55" s="42" t="n"/>
      <c r="D55" s="40" t="n"/>
      <c r="E55" s="40" t="n"/>
      <c r="F55" s="40" t="n"/>
      <c r="G55" s="40" t="n"/>
    </row>
    <row r="56">
      <c r="A56" s="40" t="n"/>
      <c r="B56" s="41" t="n"/>
      <c r="C56" s="42" t="n"/>
      <c r="D56" s="40" t="n"/>
      <c r="E56" s="40" t="n"/>
      <c r="F56" s="40" t="n"/>
      <c r="G56" s="40" t="n"/>
    </row>
    <row r="57">
      <c r="A57" s="40" t="n"/>
      <c r="B57" s="41" t="n"/>
      <c r="C57" s="42" t="n"/>
      <c r="D57" s="40" t="n"/>
      <c r="E57" s="40" t="n"/>
      <c r="F57" s="40" t="n"/>
      <c r="G57" s="40" t="n"/>
    </row>
    <row r="58">
      <c r="A58" s="40" t="n"/>
      <c r="B58" s="41" t="n"/>
      <c r="C58" s="42" t="n"/>
      <c r="D58" s="40" t="n"/>
      <c r="E58" s="40" t="n"/>
      <c r="F58" s="40" t="n"/>
      <c r="G58" s="40" t="n"/>
    </row>
    <row r="59">
      <c r="A59" s="40" t="n"/>
      <c r="B59" s="41" t="n"/>
      <c r="C59" s="42" t="n"/>
      <c r="D59" s="40" t="n"/>
      <c r="E59" s="40" t="n"/>
      <c r="F59" s="40" t="n"/>
      <c r="G59" s="40" t="n"/>
    </row>
    <row r="60">
      <c r="A60" s="40" t="n"/>
      <c r="B60" s="41" t="n"/>
      <c r="C60" s="42" t="n"/>
      <c r="D60" s="40" t="n"/>
      <c r="E60" s="40" t="n"/>
      <c r="F60" s="40" t="n"/>
      <c r="G60" s="40" t="n"/>
    </row>
    <row r="61">
      <c r="A61" s="40" t="n"/>
      <c r="B61" s="41" t="n"/>
      <c r="C61" s="42" t="n"/>
      <c r="D61" s="40" t="n"/>
      <c r="E61" s="40" t="n"/>
      <c r="F61" s="40" t="n"/>
      <c r="G61" s="40" t="n"/>
    </row>
    <row r="62">
      <c r="A62" s="40" t="n"/>
      <c r="B62" s="41" t="n"/>
      <c r="C62" s="42" t="n"/>
      <c r="D62" s="40" t="n"/>
      <c r="E62" s="40" t="n"/>
      <c r="F62" s="40" t="n"/>
      <c r="G62" s="40" t="n"/>
    </row>
    <row r="63">
      <c r="A63" s="40" t="n"/>
      <c r="B63" s="41" t="n"/>
      <c r="C63" s="42" t="n"/>
      <c r="D63" s="40" t="n"/>
      <c r="E63" s="40" t="n"/>
      <c r="F63" s="40" t="n"/>
      <c r="G63" s="40" t="n"/>
    </row>
    <row r="64">
      <c r="A64" s="40" t="n"/>
      <c r="B64" s="41" t="n"/>
      <c r="C64" s="42" t="n"/>
      <c r="D64" s="40" t="n"/>
      <c r="E64" s="40" t="n"/>
      <c r="F64" s="40" t="n"/>
      <c r="G64" s="40" t="n"/>
    </row>
    <row r="65">
      <c r="A65" s="40" t="n"/>
      <c r="B65" s="41" t="n"/>
      <c r="C65" s="42" t="n"/>
      <c r="D65" s="40" t="n"/>
      <c r="E65" s="40" t="n"/>
      <c r="F65" s="40" t="n"/>
      <c r="G65" s="40" t="n"/>
    </row>
    <row r="66">
      <c r="A66" s="40" t="n"/>
      <c r="B66" s="41" t="n"/>
      <c r="C66" s="42" t="n"/>
      <c r="D66" s="40" t="n"/>
      <c r="E66" s="40" t="n"/>
      <c r="F66" s="40" t="n"/>
      <c r="G66" s="40" t="n"/>
    </row>
    <row r="67">
      <c r="A67" s="40" t="n"/>
      <c r="B67" s="41" t="n"/>
      <c r="C67" s="42" t="n"/>
      <c r="D67" s="40" t="n"/>
      <c r="E67" s="40" t="n"/>
      <c r="F67" s="40" t="n"/>
      <c r="G67" s="40" t="n"/>
    </row>
    <row r="68">
      <c r="A68" s="40" t="n"/>
      <c r="B68" s="41" t="n"/>
      <c r="C68" s="42" t="n"/>
      <c r="D68" s="40" t="n"/>
      <c r="E68" s="40" t="n"/>
      <c r="F68" s="40" t="n"/>
      <c r="G68" s="40" t="n"/>
    </row>
    <row r="69">
      <c r="A69" s="40" t="n"/>
      <c r="B69" s="41" t="n"/>
      <c r="C69" s="42" t="n"/>
      <c r="D69" s="40" t="n"/>
      <c r="E69" s="40" t="n"/>
      <c r="F69" s="40" t="n"/>
      <c r="G69" s="40" t="n"/>
    </row>
    <row r="70">
      <c r="A70" s="40" t="n"/>
      <c r="B70" s="41" t="n"/>
      <c r="C70" s="42" t="n"/>
      <c r="D70" s="40" t="n"/>
      <c r="E70" s="40" t="n"/>
      <c r="F70" s="40" t="n"/>
      <c r="G70" s="40" t="n"/>
    </row>
    <row r="71">
      <c r="A71" s="40" t="n"/>
      <c r="B71" s="41" t="n"/>
      <c r="C71" s="42" t="n"/>
      <c r="D71" s="40" t="n"/>
      <c r="E71" s="40" t="n"/>
      <c r="F71" s="40" t="n"/>
      <c r="G71" s="40" t="n"/>
    </row>
    <row r="72">
      <c r="A72" s="40" t="n"/>
      <c r="B72" s="41" t="n"/>
      <c r="C72" s="42" t="n"/>
      <c r="D72" s="40" t="n"/>
      <c r="E72" s="40" t="n"/>
      <c r="F72" s="40" t="n"/>
      <c r="G72" s="40" t="n"/>
    </row>
    <row r="73">
      <c r="A73" s="40" t="n"/>
      <c r="B73" s="41" t="n"/>
      <c r="C73" s="42" t="n"/>
      <c r="D73" s="40" t="n"/>
      <c r="E73" s="40" t="n"/>
      <c r="F73" s="40" t="n"/>
      <c r="G73" s="40" t="n"/>
    </row>
    <row r="74">
      <c r="A74" s="40" t="n"/>
      <c r="B74" s="41" t="n"/>
      <c r="C74" s="42" t="n"/>
      <c r="D74" s="40" t="n"/>
      <c r="E74" s="40" t="n"/>
      <c r="F74" s="40" t="n"/>
      <c r="G74" s="40" t="n"/>
    </row>
    <row r="75">
      <c r="A75" s="40" t="n"/>
      <c r="B75" s="41" t="n"/>
      <c r="C75" s="42" t="n"/>
      <c r="D75" s="40" t="n"/>
      <c r="E75" s="40" t="n"/>
      <c r="F75" s="40" t="n"/>
      <c r="G75" s="40" t="n"/>
    </row>
    <row r="76">
      <c r="A76" s="40" t="n"/>
      <c r="B76" s="41" t="n"/>
      <c r="C76" s="42" t="n"/>
      <c r="D76" s="40" t="n"/>
      <c r="E76" s="40" t="n"/>
      <c r="F76" s="40" t="n"/>
      <c r="G76" s="40" t="n"/>
    </row>
    <row r="77">
      <c r="A77" s="40" t="n"/>
      <c r="B77" s="41" t="n"/>
      <c r="C77" s="42" t="n"/>
      <c r="D77" s="40" t="n"/>
      <c r="E77" s="40" t="n"/>
      <c r="F77" s="40" t="n"/>
      <c r="G77" s="40" t="n"/>
    </row>
    <row r="78">
      <c r="A78" s="40" t="n"/>
      <c r="B78" s="41" t="n"/>
      <c r="C78" s="42" t="n"/>
      <c r="D78" s="40" t="n"/>
      <c r="E78" s="40" t="n"/>
      <c r="F78" s="40" t="n"/>
      <c r="G78" s="40" t="n"/>
    </row>
    <row r="79">
      <c r="A79" s="40" t="n"/>
      <c r="B79" s="41" t="n"/>
      <c r="C79" s="42" t="n"/>
      <c r="D79" s="40" t="n"/>
      <c r="E79" s="40" t="n"/>
      <c r="F79" s="40" t="n"/>
      <c r="G79" s="40" t="n"/>
    </row>
    <row r="80">
      <c r="A80" s="40" t="n"/>
      <c r="B80" s="41" t="n"/>
      <c r="C80" s="42" t="n"/>
      <c r="D80" s="40" t="n"/>
      <c r="E80" s="40" t="n"/>
      <c r="F80" s="40" t="n"/>
      <c r="G80" s="40" t="n"/>
    </row>
    <row r="81">
      <c r="A81" s="40" t="n"/>
      <c r="B81" s="41" t="n"/>
      <c r="C81" s="42" t="n"/>
      <c r="D81" s="40" t="n"/>
      <c r="E81" s="40" t="n"/>
      <c r="F81" s="40" t="n"/>
      <c r="G81" s="40" t="n"/>
    </row>
    <row r="82">
      <c r="A82" s="40" t="n"/>
      <c r="B82" s="41" t="n"/>
      <c r="C82" s="42" t="n"/>
      <c r="D82" s="40" t="n"/>
      <c r="E82" s="40" t="n"/>
      <c r="F82" s="40" t="n"/>
      <c r="G82" s="40" t="n"/>
    </row>
    <row r="83">
      <c r="A83" s="40" t="n"/>
      <c r="B83" s="41" t="n"/>
      <c r="C83" s="42" t="n"/>
      <c r="D83" s="40" t="n"/>
      <c r="E83" s="40" t="n"/>
      <c r="F83" s="40" t="n"/>
      <c r="G83" s="40" t="n"/>
    </row>
    <row r="84">
      <c r="A84" s="40" t="n"/>
      <c r="B84" s="41" t="n"/>
      <c r="C84" s="42" t="n"/>
      <c r="D84" s="40" t="n"/>
      <c r="E84" s="40" t="n"/>
      <c r="F84" s="40" t="n"/>
      <c r="G84" s="40" t="n"/>
    </row>
    <row r="85">
      <c r="A85" s="40" t="n"/>
      <c r="B85" s="41" t="n"/>
      <c r="C85" s="42" t="n"/>
      <c r="D85" s="40" t="n"/>
      <c r="E85" s="40" t="n"/>
      <c r="F85" s="40" t="n"/>
      <c r="G85" s="40" t="n"/>
    </row>
    <row r="86">
      <c r="A86" s="40" t="n"/>
      <c r="B86" s="41" t="n"/>
      <c r="C86" s="42" t="n"/>
      <c r="D86" s="40" t="n"/>
      <c r="E86" s="40" t="n"/>
      <c r="F86" s="40" t="n"/>
      <c r="G86" s="40" t="n"/>
    </row>
    <row r="87">
      <c r="A87" s="40" t="n"/>
      <c r="B87" s="41" t="n"/>
      <c r="C87" s="42" t="n"/>
      <c r="D87" s="40" t="n"/>
      <c r="E87" s="40" t="n"/>
      <c r="F87" s="40" t="n"/>
      <c r="G87" s="40" t="n"/>
    </row>
    <row r="88">
      <c r="A88" s="40" t="n"/>
      <c r="B88" s="41" t="n"/>
      <c r="C88" s="42" t="n"/>
      <c r="D88" s="40" t="n"/>
      <c r="E88" s="40" t="n"/>
      <c r="F88" s="40" t="n"/>
      <c r="G88" s="40" t="n"/>
    </row>
    <row r="89">
      <c r="A89" s="40" t="n"/>
      <c r="B89" s="41" t="n"/>
      <c r="C89" s="42" t="n"/>
      <c r="D89" s="40" t="n"/>
      <c r="E89" s="40" t="n"/>
      <c r="F89" s="40" t="n"/>
      <c r="G89" s="40" t="n"/>
    </row>
    <row r="90">
      <c r="A90" s="40" t="n"/>
      <c r="B90" s="41" t="n"/>
      <c r="C90" s="42" t="n"/>
      <c r="D90" s="40" t="n"/>
      <c r="E90" s="40" t="n"/>
      <c r="F90" s="40" t="n"/>
      <c r="G90" s="40" t="n"/>
    </row>
    <row r="91">
      <c r="A91" s="40" t="n"/>
      <c r="B91" s="41" t="n"/>
      <c r="C91" s="42" t="n"/>
      <c r="D91" s="40" t="n"/>
      <c r="E91" s="40" t="n"/>
      <c r="F91" s="40" t="n"/>
      <c r="G91" s="40" t="n"/>
    </row>
    <row r="92">
      <c r="A92" s="40" t="n"/>
      <c r="B92" s="41" t="n"/>
      <c r="C92" s="42" t="n"/>
      <c r="D92" s="40" t="n"/>
      <c r="E92" s="40" t="n"/>
      <c r="F92" s="40" t="n"/>
      <c r="G92" s="40" t="n"/>
    </row>
    <row r="93">
      <c r="A93" s="40" t="n"/>
      <c r="B93" s="41" t="n"/>
      <c r="C93" s="42" t="n"/>
      <c r="D93" s="40" t="n"/>
      <c r="E93" s="40" t="n"/>
      <c r="F93" s="40" t="n"/>
      <c r="G93" s="40" t="n"/>
    </row>
    <row r="94">
      <c r="A94" s="40" t="n"/>
      <c r="B94" s="41" t="n"/>
      <c r="C94" s="42" t="n"/>
      <c r="D94" s="40" t="n"/>
      <c r="E94" s="40" t="n"/>
      <c r="F94" s="40" t="n"/>
      <c r="G94" s="40" t="n"/>
    </row>
    <row r="95">
      <c r="A95" s="40" t="n"/>
      <c r="B95" s="41" t="n"/>
      <c r="C95" s="42" t="n"/>
      <c r="D95" s="40" t="n"/>
      <c r="E95" s="40" t="n"/>
      <c r="F95" s="40" t="n"/>
      <c r="G95" s="40" t="n"/>
    </row>
    <row r="96">
      <c r="A96" s="40" t="n"/>
      <c r="B96" s="41" t="n"/>
      <c r="C96" s="42" t="n"/>
      <c r="D96" s="40" t="n"/>
      <c r="E96" s="40" t="n"/>
      <c r="F96" s="40" t="n"/>
      <c r="G96" s="40" t="n"/>
    </row>
    <row r="97">
      <c r="A97" s="40" t="n"/>
      <c r="B97" s="41" t="n"/>
      <c r="C97" s="42" t="n"/>
      <c r="D97" s="40" t="n"/>
      <c r="E97" s="40" t="n"/>
      <c r="F97" s="40" t="n"/>
      <c r="G97" s="40" t="n"/>
    </row>
    <row r="98">
      <c r="A98" s="40" t="n"/>
      <c r="B98" s="41" t="n"/>
      <c r="C98" s="42" t="n"/>
      <c r="D98" s="40" t="n"/>
      <c r="E98" s="40" t="n"/>
      <c r="F98" s="40" t="n"/>
      <c r="G98" s="40" t="n"/>
    </row>
    <row r="99">
      <c r="A99" s="40" t="n"/>
      <c r="B99" s="41" t="n"/>
      <c r="C99" s="42" t="n"/>
      <c r="D99" s="40" t="n"/>
      <c r="E99" s="40" t="n"/>
      <c r="F99" s="40" t="n"/>
      <c r="G99" s="40" t="n"/>
    </row>
    <row r="100">
      <c r="A100" s="40" t="n"/>
      <c r="B100" s="41" t="n"/>
      <c r="C100" s="42" t="n"/>
      <c r="D100" s="40" t="n"/>
      <c r="E100" s="40" t="n"/>
      <c r="F100" s="40" t="n"/>
      <c r="G100" s="40" t="n"/>
    </row>
    <row r="101">
      <c r="A101" s="40" t="n"/>
      <c r="B101" s="41" t="n"/>
      <c r="C101" s="42" t="n"/>
      <c r="D101" s="40" t="n"/>
      <c r="E101" s="40" t="n"/>
      <c r="F101" s="40" t="n"/>
      <c r="G101" s="40" t="n"/>
    </row>
    <row r="102">
      <c r="A102" s="40" t="n"/>
      <c r="B102" s="41" t="n"/>
      <c r="C102" s="42" t="n"/>
      <c r="D102" s="40" t="n"/>
      <c r="E102" s="40" t="n"/>
      <c r="F102" s="40" t="n"/>
      <c r="G102" s="40" t="n"/>
    </row>
    <row r="103">
      <c r="A103" s="40" t="n"/>
      <c r="B103" s="41" t="n"/>
      <c r="C103" s="42" t="n"/>
      <c r="D103" s="40" t="n"/>
      <c r="E103" s="40" t="n"/>
      <c r="F103" s="40" t="n"/>
      <c r="G103" s="40" t="n"/>
    </row>
    <row r="104">
      <c r="A104" s="40" t="n"/>
      <c r="B104" s="41" t="n"/>
      <c r="C104" s="42" t="n"/>
      <c r="D104" s="40" t="n"/>
      <c r="E104" s="40" t="n"/>
      <c r="F104" s="40" t="n"/>
      <c r="G104" s="40" t="n"/>
    </row>
    <row r="105">
      <c r="A105" s="40" t="n"/>
      <c r="B105" s="41" t="n"/>
      <c r="C105" s="42" t="n"/>
      <c r="D105" s="40" t="n"/>
      <c r="E105" s="40" t="n"/>
      <c r="F105" s="40" t="n"/>
      <c r="G105" s="40" t="n"/>
    </row>
    <row r="106">
      <c r="A106" s="40" t="n"/>
      <c r="B106" s="41" t="n"/>
      <c r="C106" s="42" t="n"/>
      <c r="D106" s="40" t="n"/>
      <c r="E106" s="40" t="n"/>
      <c r="F106" s="40" t="n"/>
      <c r="G106" s="40" t="n"/>
    </row>
    <row r="107">
      <c r="A107" s="40" t="n"/>
      <c r="B107" s="41" t="n"/>
      <c r="C107" s="42" t="n"/>
      <c r="D107" s="40" t="n"/>
      <c r="E107" s="40" t="n"/>
      <c r="F107" s="40" t="n"/>
      <c r="G107" s="40" t="n"/>
    </row>
    <row r="108">
      <c r="A108" s="40" t="n"/>
      <c r="B108" s="41" t="n"/>
      <c r="C108" s="42" t="n"/>
      <c r="D108" s="40" t="n"/>
      <c r="E108" s="40" t="n"/>
      <c r="F108" s="40" t="n"/>
      <c r="G108" s="40" t="n"/>
    </row>
    <row r="109">
      <c r="A109" s="40" t="n"/>
      <c r="B109" s="41" t="n"/>
      <c r="C109" s="42" t="n"/>
      <c r="D109" s="40" t="n"/>
      <c r="E109" s="40" t="n"/>
      <c r="F109" s="40" t="n"/>
      <c r="G109" s="40" t="n"/>
    </row>
    <row r="110">
      <c r="A110" s="40" t="n"/>
      <c r="B110" s="41" t="n"/>
      <c r="C110" s="42" t="n"/>
      <c r="D110" s="40" t="n"/>
      <c r="E110" s="40" t="n"/>
      <c r="F110" s="40" t="n"/>
      <c r="G110" s="40" t="n"/>
    </row>
    <row r="111">
      <c r="A111" s="40" t="n"/>
      <c r="B111" s="41" t="n"/>
      <c r="C111" s="42" t="n"/>
      <c r="D111" s="40" t="n"/>
      <c r="E111" s="40" t="n"/>
      <c r="F111" s="40" t="n"/>
      <c r="G111" s="40" t="n"/>
    </row>
    <row r="112">
      <c r="A112" s="40" t="n"/>
      <c r="B112" s="41" t="n"/>
      <c r="C112" s="42" t="n"/>
      <c r="D112" s="40" t="n"/>
      <c r="E112" s="40" t="n"/>
      <c r="F112" s="40" t="n"/>
      <c r="G112" s="40" t="n"/>
    </row>
    <row r="113">
      <c r="A113" s="40" t="n"/>
      <c r="B113" s="41" t="n"/>
      <c r="C113" s="42" t="n"/>
      <c r="D113" s="40" t="n"/>
      <c r="E113" s="40" t="n"/>
      <c r="F113" s="40" t="n"/>
      <c r="G113" s="40" t="n"/>
    </row>
    <row r="114">
      <c r="A114" s="40" t="n"/>
      <c r="B114" s="41" t="n"/>
      <c r="C114" s="42" t="n"/>
      <c r="D114" s="40" t="n"/>
      <c r="E114" s="40" t="n"/>
      <c r="F114" s="40" t="n"/>
      <c r="G114" s="40" t="n"/>
    </row>
    <row r="115">
      <c r="A115" s="40" t="n"/>
      <c r="B115" s="41" t="n"/>
      <c r="C115" s="42" t="n"/>
      <c r="D115" s="40" t="n"/>
      <c r="E115" s="40" t="n"/>
      <c r="F115" s="40" t="n"/>
      <c r="G115" s="40" t="n"/>
    </row>
    <row r="116">
      <c r="A116" s="40" t="n"/>
      <c r="B116" s="41" t="n"/>
      <c r="C116" s="42" t="n"/>
      <c r="D116" s="40" t="n"/>
      <c r="E116" s="40" t="n"/>
      <c r="F116" s="40" t="n"/>
      <c r="G116" s="40" t="n"/>
    </row>
    <row r="117">
      <c r="A117" s="40" t="n"/>
      <c r="B117" s="41" t="n"/>
      <c r="C117" s="42" t="n"/>
      <c r="D117" s="40" t="n"/>
      <c r="E117" s="40" t="n"/>
      <c r="F117" s="40" t="n"/>
      <c r="G117" s="40" t="n"/>
    </row>
    <row r="118">
      <c r="A118" s="40" t="n"/>
      <c r="B118" s="41" t="n"/>
      <c r="C118" s="42" t="n"/>
      <c r="D118" s="40" t="n"/>
      <c r="E118" s="40" t="n"/>
      <c r="F118" s="40" t="n"/>
      <c r="G118" s="40" t="n"/>
    </row>
    <row r="119">
      <c r="A119" s="40" t="n"/>
      <c r="B119" s="41" t="n"/>
      <c r="C119" s="42" t="n"/>
      <c r="D119" s="40" t="n"/>
      <c r="E119" s="40" t="n"/>
      <c r="F119" s="40" t="n"/>
      <c r="G119" s="40" t="n"/>
    </row>
    <row r="120">
      <c r="A120" s="40" t="n"/>
      <c r="B120" s="41" t="n"/>
      <c r="C120" s="42" t="n"/>
      <c r="D120" s="40" t="n"/>
      <c r="E120" s="40" t="n"/>
      <c r="F120" s="40" t="n"/>
      <c r="G120" s="40" t="n"/>
    </row>
    <row r="121">
      <c r="A121" s="40" t="n"/>
      <c r="B121" s="41" t="n"/>
      <c r="C121" s="42" t="n"/>
      <c r="D121" s="40" t="n"/>
      <c r="E121" s="40" t="n"/>
      <c r="F121" s="40" t="n"/>
      <c r="G121" s="40" t="n"/>
    </row>
    <row r="122">
      <c r="A122" s="40" t="n"/>
      <c r="B122" s="41" t="n"/>
      <c r="C122" s="42" t="n"/>
      <c r="D122" s="40" t="n"/>
      <c r="E122" s="40" t="n"/>
      <c r="F122" s="40" t="n"/>
      <c r="G122" s="40" t="n"/>
    </row>
    <row r="123">
      <c r="A123" s="40" t="n"/>
      <c r="B123" s="41" t="n"/>
      <c r="C123" s="42" t="n"/>
      <c r="D123" s="40" t="n"/>
      <c r="E123" s="40" t="n"/>
      <c r="F123" s="40" t="n"/>
      <c r="G123" s="40" t="n"/>
    </row>
    <row r="124">
      <c r="A124" s="40" t="n"/>
      <c r="B124" s="41" t="n"/>
      <c r="C124" s="42" t="n"/>
      <c r="D124" s="40" t="n"/>
      <c r="E124" s="40" t="n"/>
      <c r="F124" s="40" t="n"/>
      <c r="G124" s="40" t="n"/>
    </row>
    <row r="125">
      <c r="A125" s="40" t="n"/>
      <c r="B125" s="41" t="n"/>
      <c r="C125" s="42" t="n"/>
      <c r="D125" s="40" t="n"/>
      <c r="E125" s="40" t="n"/>
      <c r="F125" s="40" t="n"/>
      <c r="G125" s="40" t="n"/>
    </row>
    <row r="126">
      <c r="A126" s="40" t="n"/>
      <c r="B126" s="41" t="n"/>
      <c r="C126" s="42" t="n"/>
      <c r="D126" s="40" t="n"/>
      <c r="E126" s="40" t="n"/>
      <c r="F126" s="40" t="n"/>
      <c r="G126" s="40" t="n"/>
    </row>
    <row r="127">
      <c r="A127" s="14" t="inlineStr">
        <is>
          <t>Total</t>
        </is>
      </c>
      <c r="C127" s="44">
        <f>SUM(C7:C126)</f>
        <v/>
      </c>
    </row>
    <row r="128"/>
    <row r="129"/>
    <row r="130">
      <c r="A130" s="5" t="inlineStr">
        <is>
          <t>Trade payables - detail</t>
        </is>
      </c>
      <c r="I130" s="5" t="inlineStr">
        <is>
          <t>Payables ageing (Schedule III) - in rounding units</t>
        </is>
      </c>
    </row>
    <row r="131">
      <c r="A131" s="12" t="inlineStr">
        <is>
          <t>Party</t>
        </is>
      </c>
      <c r="B131" s="12" t="inlineStr">
        <is>
          <t>Invoice / due date</t>
        </is>
      </c>
      <c r="C131" s="12" t="inlineStr">
        <is>
          <t>Amount (Rs)</t>
        </is>
      </c>
      <c r="D131" s="12" t="inlineStr">
        <is>
          <t>MSME?</t>
        </is>
      </c>
      <c r="E131" s="12" t="inlineStr">
        <is>
          <t>Disputed?</t>
        </is>
      </c>
      <c r="F131" s="12" t="inlineStr">
        <is>
          <t>Unbilled?</t>
        </is>
      </c>
      <c r="G131" s="12" t="inlineStr">
        <is>
          <t>Not due?</t>
        </is>
      </c>
      <c r="I131" s="12" t="inlineStr">
        <is>
          <t>Particulars</t>
        </is>
      </c>
      <c r="J131" s="12" t="inlineStr">
        <is>
          <t>Unbilled</t>
        </is>
      </c>
      <c r="K131" s="12" t="inlineStr">
        <is>
          <t>Not due</t>
        </is>
      </c>
      <c r="L131" s="12" t="inlineStr">
        <is>
          <t>&lt; 1 year</t>
        </is>
      </c>
      <c r="M131" s="12" t="inlineStr">
        <is>
          <t>1-2 years</t>
        </is>
      </c>
      <c r="N131" s="12" t="inlineStr">
        <is>
          <t>2-3 years</t>
        </is>
      </c>
      <c r="O131" s="12" t="inlineStr">
        <is>
          <t>&gt; 3 years</t>
        </is>
      </c>
      <c r="P131" s="12" t="inlineStr">
        <is>
          <t>Total</t>
        </is>
      </c>
    </row>
    <row r="132">
      <c r="A132" s="40" t="n"/>
      <c r="B132" s="41" t="n"/>
      <c r="C132" s="42" t="n"/>
      <c r="D132" s="40" t="n"/>
      <c r="E132" s="40" t="n"/>
      <c r="F132" s="40" t="n"/>
      <c r="G132" s="40" t="n"/>
      <c r="I132" s="11" t="inlineStr">
        <is>
          <t>MSME</t>
        </is>
      </c>
      <c r="J132" s="47">
        <f>SUMPRODUCT((Ageing!$D$132:$D$251="Y")*(Ageing!$E$132:$E$251&lt;&gt;"Y")*(Ageing!$F$132:$F$251="Y")*Ageing!$C$132:$C$251)/RND</f>
        <v/>
      </c>
      <c r="K132" s="47">
        <f>SUMPRODUCT((Ageing!$D$132:$D$251="Y")*(Ageing!$E$132:$E$251&lt;&gt;"Y")*(Ageing!$F$132:$F$251&lt;&gt;"Y")*(Ageing!$G$132:$G$251="Y")*Ageing!$C$132:$C$251)/RND</f>
        <v/>
      </c>
      <c r="L132" s="47">
        <f>SUMPRODUCT((Ageing!$D$132:$D$251="Y")*(Ageing!$E$132:$E$251&lt;&gt;"Y")*(Ageing!$F$132:$F$251&lt;&gt;"Y")*(Ageing!$G$132:$G$251&lt;&gt;"Y")*(BSD-Ageing!$B$132:$B$251&lt;=365)*(Ageing!$B$132:$B$251&lt;&gt;"")*Ageing!$C$132:$C$251)/RND</f>
        <v/>
      </c>
      <c r="M132" s="47">
        <f>SUMPRODUCT((Ageing!$D$132:$D$251="Y")*(Ageing!$E$132:$E$251&lt;&gt;"Y")*(Ageing!$F$132:$F$251&lt;&gt;"Y")*(Ageing!$G$132:$G$251&lt;&gt;"Y")*(BSD-Ageing!$B$132:$B$251&gt;365)*(BSD-Ageing!$B$132:$B$251&lt;=730)*Ageing!$C$132:$C$251)/RND</f>
        <v/>
      </c>
      <c r="N132" s="47">
        <f>SUMPRODUCT((Ageing!$D$132:$D$251="Y")*(Ageing!$E$132:$E$251&lt;&gt;"Y")*(Ageing!$F$132:$F$251&lt;&gt;"Y")*(Ageing!$G$132:$G$251&lt;&gt;"Y")*(BSD-Ageing!$B$132:$B$251&gt;730)*(BSD-Ageing!$B$132:$B$251&lt;=1095)*Ageing!$C$132:$C$251)/RND</f>
        <v/>
      </c>
      <c r="O132" s="47">
        <f>SUMPRODUCT((Ageing!$D$132:$D$251="Y")*(Ageing!$E$132:$E$251&lt;&gt;"Y")*(Ageing!$F$132:$F$251&lt;&gt;"Y")*(Ageing!$G$132:$G$251&lt;&gt;"Y")*(BSD-Ageing!$B$132:$B$251&gt;1095)*(Ageing!$B$132:$B$251&lt;&gt;"")*Ageing!$C$132:$C$251)/RND</f>
        <v/>
      </c>
      <c r="P132" s="48">
        <f>SUM(J132:O132)</f>
        <v/>
      </c>
    </row>
    <row r="133">
      <c r="A133" s="40" t="n"/>
      <c r="B133" s="41" t="n"/>
      <c r="C133" s="42" t="n"/>
      <c r="D133" s="40" t="n"/>
      <c r="E133" s="40" t="n"/>
      <c r="F133" s="40" t="n"/>
      <c r="G133" s="40" t="n"/>
      <c r="I133" s="11" t="inlineStr">
        <is>
          <t>Others</t>
        </is>
      </c>
      <c r="J133" s="47">
        <f>SUMPRODUCT((Ageing!$D$132:$D$251&lt;&gt;"Y")*(Ageing!$E$132:$E$251&lt;&gt;"Y")*(Ageing!$F$132:$F$251="Y")*Ageing!$C$132:$C$251)/RND</f>
        <v/>
      </c>
      <c r="K133" s="47">
        <f>SUMPRODUCT((Ageing!$D$132:$D$251&lt;&gt;"Y")*(Ageing!$E$132:$E$251&lt;&gt;"Y")*(Ageing!$F$132:$F$251&lt;&gt;"Y")*(Ageing!$G$132:$G$251="Y")*Ageing!$C$132:$C$251)/RND</f>
        <v/>
      </c>
      <c r="L133" s="47">
        <f>SUMPRODUCT((Ageing!$D$132:$D$251&lt;&gt;"Y")*(Ageing!$E$132:$E$251&lt;&gt;"Y")*(Ageing!$F$132:$F$251&lt;&gt;"Y")*(Ageing!$G$132:$G$251&lt;&gt;"Y")*(BSD-Ageing!$B$132:$B$251&lt;=365)*(Ageing!$B$132:$B$251&lt;&gt;"")*Ageing!$C$132:$C$251)/RND</f>
        <v/>
      </c>
      <c r="M133" s="47">
        <f>SUMPRODUCT((Ageing!$D$132:$D$251&lt;&gt;"Y")*(Ageing!$E$132:$E$251&lt;&gt;"Y")*(Ageing!$F$132:$F$251&lt;&gt;"Y")*(Ageing!$G$132:$G$251&lt;&gt;"Y")*(BSD-Ageing!$B$132:$B$251&gt;365)*(BSD-Ageing!$B$132:$B$251&lt;=730)*Ageing!$C$132:$C$251)/RND</f>
        <v/>
      </c>
      <c r="N133" s="47">
        <f>SUMPRODUCT((Ageing!$D$132:$D$251&lt;&gt;"Y")*(Ageing!$E$132:$E$251&lt;&gt;"Y")*(Ageing!$F$132:$F$251&lt;&gt;"Y")*(Ageing!$G$132:$G$251&lt;&gt;"Y")*(BSD-Ageing!$B$132:$B$251&gt;730)*(BSD-Ageing!$B$132:$B$251&lt;=1095)*Ageing!$C$132:$C$251)/RND</f>
        <v/>
      </c>
      <c r="O133" s="47">
        <f>SUMPRODUCT((Ageing!$D$132:$D$251&lt;&gt;"Y")*(Ageing!$E$132:$E$251&lt;&gt;"Y")*(Ageing!$F$132:$F$251&lt;&gt;"Y")*(Ageing!$G$132:$G$251&lt;&gt;"Y")*(BSD-Ageing!$B$132:$B$251&gt;1095)*(Ageing!$B$132:$B$251&lt;&gt;"")*Ageing!$C$132:$C$251)/RND</f>
        <v/>
      </c>
      <c r="P133" s="48">
        <f>SUM(J133:O133)</f>
        <v/>
      </c>
    </row>
    <row r="134">
      <c r="A134" s="40" t="n"/>
      <c r="B134" s="41" t="n"/>
      <c r="C134" s="42" t="n"/>
      <c r="D134" s="40" t="n"/>
      <c r="E134" s="40" t="n"/>
      <c r="F134" s="40" t="n"/>
      <c r="G134" s="40" t="n"/>
      <c r="I134" s="11" t="inlineStr">
        <is>
          <t>Disputed dues - MSME</t>
        </is>
      </c>
      <c r="J134" s="47">
        <f>SUMPRODUCT((Ageing!$D$132:$D$251="Y")*(Ageing!$E$132:$E$251="Y")*(Ageing!$F$132:$F$251="Y")*Ageing!$C$132:$C$251)/RND</f>
        <v/>
      </c>
      <c r="K134" s="47">
        <f>SUMPRODUCT((Ageing!$D$132:$D$251="Y")*(Ageing!$E$132:$E$251="Y")*(Ageing!$F$132:$F$251&lt;&gt;"Y")*(Ageing!$G$132:$G$251="Y")*Ageing!$C$132:$C$251)/RND</f>
        <v/>
      </c>
      <c r="L134" s="47">
        <f>SUMPRODUCT((Ageing!$D$132:$D$251="Y")*(Ageing!$E$132:$E$251="Y")*(Ageing!$F$132:$F$251&lt;&gt;"Y")*(Ageing!$G$132:$G$251&lt;&gt;"Y")*(BSD-Ageing!$B$132:$B$251&lt;=365)*(Ageing!$B$132:$B$251&lt;&gt;"")*Ageing!$C$132:$C$251)/RND</f>
        <v/>
      </c>
      <c r="M134" s="47">
        <f>SUMPRODUCT((Ageing!$D$132:$D$251="Y")*(Ageing!$E$132:$E$251="Y")*(Ageing!$F$132:$F$251&lt;&gt;"Y")*(Ageing!$G$132:$G$251&lt;&gt;"Y")*(BSD-Ageing!$B$132:$B$251&gt;365)*(BSD-Ageing!$B$132:$B$251&lt;=730)*Ageing!$C$132:$C$251)/RND</f>
        <v/>
      </c>
      <c r="N134" s="47">
        <f>SUMPRODUCT((Ageing!$D$132:$D$251="Y")*(Ageing!$E$132:$E$251="Y")*(Ageing!$F$132:$F$251&lt;&gt;"Y")*(Ageing!$G$132:$G$251&lt;&gt;"Y")*(BSD-Ageing!$B$132:$B$251&gt;730)*(BSD-Ageing!$B$132:$B$251&lt;=1095)*Ageing!$C$132:$C$251)/RND</f>
        <v/>
      </c>
      <c r="O134" s="47">
        <f>SUMPRODUCT((Ageing!$D$132:$D$251="Y")*(Ageing!$E$132:$E$251="Y")*(Ageing!$F$132:$F$251&lt;&gt;"Y")*(Ageing!$G$132:$G$251&lt;&gt;"Y")*(BSD-Ageing!$B$132:$B$251&gt;1095)*(Ageing!$B$132:$B$251&lt;&gt;"")*Ageing!$C$132:$C$251)/RND</f>
        <v/>
      </c>
      <c r="P134" s="48">
        <f>SUM(J134:O134)</f>
        <v/>
      </c>
    </row>
    <row r="135">
      <c r="A135" s="40" t="n"/>
      <c r="B135" s="41" t="n"/>
      <c r="C135" s="42" t="n"/>
      <c r="D135" s="40" t="n"/>
      <c r="E135" s="40" t="n"/>
      <c r="F135" s="40" t="n"/>
      <c r="G135" s="40" t="n"/>
      <c r="I135" s="11" t="inlineStr">
        <is>
          <t>Disputed dues - others</t>
        </is>
      </c>
      <c r="J135" s="47">
        <f>SUMPRODUCT((Ageing!$D$132:$D$251&lt;&gt;"Y")*(Ageing!$E$132:$E$251="Y")*(Ageing!$F$132:$F$251="Y")*Ageing!$C$132:$C$251)/RND</f>
        <v/>
      </c>
      <c r="K135" s="47">
        <f>SUMPRODUCT((Ageing!$D$132:$D$251&lt;&gt;"Y")*(Ageing!$E$132:$E$251="Y")*(Ageing!$F$132:$F$251&lt;&gt;"Y")*(Ageing!$G$132:$G$251="Y")*Ageing!$C$132:$C$251)/RND</f>
        <v/>
      </c>
      <c r="L135" s="47">
        <f>SUMPRODUCT((Ageing!$D$132:$D$251&lt;&gt;"Y")*(Ageing!$E$132:$E$251="Y")*(Ageing!$F$132:$F$251&lt;&gt;"Y")*(Ageing!$G$132:$G$251&lt;&gt;"Y")*(BSD-Ageing!$B$132:$B$251&lt;=365)*(Ageing!$B$132:$B$251&lt;&gt;"")*Ageing!$C$132:$C$251)/RND</f>
        <v/>
      </c>
      <c r="M135" s="47">
        <f>SUMPRODUCT((Ageing!$D$132:$D$251&lt;&gt;"Y")*(Ageing!$E$132:$E$251="Y")*(Ageing!$F$132:$F$251&lt;&gt;"Y")*(Ageing!$G$132:$G$251&lt;&gt;"Y")*(BSD-Ageing!$B$132:$B$251&gt;365)*(BSD-Ageing!$B$132:$B$251&lt;=730)*Ageing!$C$132:$C$251)/RND</f>
        <v/>
      </c>
      <c r="N135" s="47">
        <f>SUMPRODUCT((Ageing!$D$132:$D$251&lt;&gt;"Y")*(Ageing!$E$132:$E$251="Y")*(Ageing!$F$132:$F$251&lt;&gt;"Y")*(Ageing!$G$132:$G$251&lt;&gt;"Y")*(BSD-Ageing!$B$132:$B$251&gt;730)*(BSD-Ageing!$B$132:$B$251&lt;=1095)*Ageing!$C$132:$C$251)/RND</f>
        <v/>
      </c>
      <c r="O135" s="47">
        <f>SUMPRODUCT((Ageing!$D$132:$D$251&lt;&gt;"Y")*(Ageing!$E$132:$E$251="Y")*(Ageing!$F$132:$F$251&lt;&gt;"Y")*(Ageing!$G$132:$G$251&lt;&gt;"Y")*(BSD-Ageing!$B$132:$B$251&gt;1095)*(Ageing!$B$132:$B$251&lt;&gt;"")*Ageing!$C$132:$C$251)/RND</f>
        <v/>
      </c>
      <c r="P135" s="48">
        <f>SUM(J135:O135)</f>
        <v/>
      </c>
    </row>
    <row r="136">
      <c r="A136" s="40" t="n"/>
      <c r="B136" s="41" t="n"/>
      <c r="C136" s="42" t="n"/>
      <c r="D136" s="40" t="n"/>
      <c r="E136" s="40" t="n"/>
      <c r="F136" s="40" t="n"/>
      <c r="G136" s="40" t="n"/>
      <c r="I136" s="14" t="inlineStr">
        <is>
          <t>Total</t>
        </is>
      </c>
      <c r="J136" s="49">
        <f>SUM(J132:J135)</f>
        <v/>
      </c>
      <c r="K136" s="49">
        <f>SUM(K132:K135)</f>
        <v/>
      </c>
      <c r="L136" s="49">
        <f>SUM(L132:L135)</f>
        <v/>
      </c>
      <c r="M136" s="49">
        <f>SUM(M132:M135)</f>
        <v/>
      </c>
      <c r="N136" s="49">
        <f>SUM(N132:N135)</f>
        <v/>
      </c>
      <c r="O136" s="49">
        <f>SUM(O132:O135)</f>
        <v/>
      </c>
      <c r="P136" s="49">
        <f>SUM(P132:P135)</f>
        <v/>
      </c>
    </row>
    <row r="137">
      <c r="A137" s="40" t="n"/>
      <c r="B137" s="41" t="n"/>
      <c r="C137" s="42" t="n"/>
      <c r="D137" s="40" t="n"/>
      <c r="E137" s="40" t="n"/>
      <c r="F137" s="40" t="n"/>
      <c r="G137" s="40" t="n"/>
    </row>
    <row r="138">
      <c r="A138" s="40" t="n"/>
      <c r="B138" s="41" t="n"/>
      <c r="C138" s="42" t="n"/>
      <c r="D138" s="40" t="n"/>
      <c r="E138" s="40" t="n"/>
      <c r="F138" s="40" t="n"/>
      <c r="G138" s="40" t="n"/>
      <c r="I138" s="14" t="inlineStr">
        <is>
          <t>Check vs TB trade payables (MSME + others)</t>
        </is>
      </c>
      <c r="P138" s="48">
        <f>P136-(-(Calc!$B$9)-(Calc!$B$10))/RND</f>
        <v/>
      </c>
    </row>
    <row r="139">
      <c r="A139" s="40" t="n"/>
      <c r="B139" s="41" t="n"/>
      <c r="C139" s="42" t="n"/>
      <c r="D139" s="40" t="n"/>
      <c r="E139" s="40" t="n"/>
      <c r="F139" s="40" t="n"/>
      <c r="G139" s="40" t="n"/>
    </row>
    <row r="140">
      <c r="A140" s="40" t="n"/>
      <c r="B140" s="41" t="n"/>
      <c r="C140" s="42" t="n"/>
      <c r="D140" s="40" t="n"/>
      <c r="E140" s="40" t="n"/>
      <c r="F140" s="40" t="n"/>
      <c r="G140" s="40" t="n"/>
    </row>
    <row r="141">
      <c r="A141" s="40" t="n"/>
      <c r="B141" s="41" t="n"/>
      <c r="C141" s="42" t="n"/>
      <c r="D141" s="40" t="n"/>
      <c r="E141" s="40" t="n"/>
      <c r="F141" s="40" t="n"/>
      <c r="G141" s="40" t="n"/>
    </row>
    <row r="142">
      <c r="A142" s="40" t="n"/>
      <c r="B142" s="41" t="n"/>
      <c r="C142" s="42" t="n"/>
      <c r="D142" s="40" t="n"/>
      <c r="E142" s="40" t="n"/>
      <c r="F142" s="40" t="n"/>
      <c r="G142" s="40" t="n"/>
    </row>
    <row r="143">
      <c r="A143" s="40" t="n"/>
      <c r="B143" s="41" t="n"/>
      <c r="C143" s="42" t="n"/>
      <c r="D143" s="40" t="n"/>
      <c r="E143" s="40" t="n"/>
      <c r="F143" s="40" t="n"/>
      <c r="G143" s="40" t="n"/>
    </row>
    <row r="144">
      <c r="A144" s="40" t="n"/>
      <c r="B144" s="41" t="n"/>
      <c r="C144" s="42" t="n"/>
      <c r="D144" s="40" t="n"/>
      <c r="E144" s="40" t="n"/>
      <c r="F144" s="40" t="n"/>
      <c r="G144" s="40" t="n"/>
    </row>
    <row r="145">
      <c r="A145" s="40" t="n"/>
      <c r="B145" s="41" t="n"/>
      <c r="C145" s="42" t="n"/>
      <c r="D145" s="40" t="n"/>
      <c r="E145" s="40" t="n"/>
      <c r="F145" s="40" t="n"/>
      <c r="G145" s="40" t="n"/>
    </row>
    <row r="146">
      <c r="A146" s="40" t="n"/>
      <c r="B146" s="41" t="n"/>
      <c r="C146" s="42" t="n"/>
      <c r="D146" s="40" t="n"/>
      <c r="E146" s="40" t="n"/>
      <c r="F146" s="40" t="n"/>
      <c r="G146" s="40" t="n"/>
    </row>
    <row r="147">
      <c r="A147" s="40" t="n"/>
      <c r="B147" s="41" t="n"/>
      <c r="C147" s="42" t="n"/>
      <c r="D147" s="40" t="n"/>
      <c r="E147" s="40" t="n"/>
      <c r="F147" s="40" t="n"/>
      <c r="G147" s="40" t="n"/>
    </row>
    <row r="148">
      <c r="A148" s="40" t="n"/>
      <c r="B148" s="41" t="n"/>
      <c r="C148" s="42" t="n"/>
      <c r="D148" s="40" t="n"/>
      <c r="E148" s="40" t="n"/>
      <c r="F148" s="40" t="n"/>
      <c r="G148" s="40" t="n"/>
    </row>
    <row r="149">
      <c r="A149" s="40" t="n"/>
      <c r="B149" s="41" t="n"/>
      <c r="C149" s="42" t="n"/>
      <c r="D149" s="40" t="n"/>
      <c r="E149" s="40" t="n"/>
      <c r="F149" s="40" t="n"/>
      <c r="G149" s="40" t="n"/>
    </row>
    <row r="150">
      <c r="A150" s="40" t="n"/>
      <c r="B150" s="41" t="n"/>
      <c r="C150" s="42" t="n"/>
      <c r="D150" s="40" t="n"/>
      <c r="E150" s="40" t="n"/>
      <c r="F150" s="40" t="n"/>
      <c r="G150" s="40" t="n"/>
    </row>
    <row r="151">
      <c r="A151" s="40" t="n"/>
      <c r="B151" s="41" t="n"/>
      <c r="C151" s="42" t="n"/>
      <c r="D151" s="40" t="n"/>
      <c r="E151" s="40" t="n"/>
      <c r="F151" s="40" t="n"/>
      <c r="G151" s="40" t="n"/>
    </row>
    <row r="152">
      <c r="A152" s="40" t="n"/>
      <c r="B152" s="41" t="n"/>
      <c r="C152" s="42" t="n"/>
      <c r="D152" s="40" t="n"/>
      <c r="E152" s="40" t="n"/>
      <c r="F152" s="40" t="n"/>
      <c r="G152" s="40" t="n"/>
    </row>
    <row r="153">
      <c r="A153" s="40" t="n"/>
      <c r="B153" s="41" t="n"/>
      <c r="C153" s="42" t="n"/>
      <c r="D153" s="40" t="n"/>
      <c r="E153" s="40" t="n"/>
      <c r="F153" s="40" t="n"/>
      <c r="G153" s="40" t="n"/>
    </row>
    <row r="154">
      <c r="A154" s="40" t="n"/>
      <c r="B154" s="41" t="n"/>
      <c r="C154" s="42" t="n"/>
      <c r="D154" s="40" t="n"/>
      <c r="E154" s="40" t="n"/>
      <c r="F154" s="40" t="n"/>
      <c r="G154" s="40" t="n"/>
    </row>
    <row r="155">
      <c r="A155" s="40" t="n"/>
      <c r="B155" s="41" t="n"/>
      <c r="C155" s="42" t="n"/>
      <c r="D155" s="40" t="n"/>
      <c r="E155" s="40" t="n"/>
      <c r="F155" s="40" t="n"/>
      <c r="G155" s="40" t="n"/>
    </row>
    <row r="156">
      <c r="A156" s="40" t="n"/>
      <c r="B156" s="41" t="n"/>
      <c r="C156" s="42" t="n"/>
      <c r="D156" s="40" t="n"/>
      <c r="E156" s="40" t="n"/>
      <c r="F156" s="40" t="n"/>
      <c r="G156" s="40" t="n"/>
    </row>
    <row r="157">
      <c r="A157" s="40" t="n"/>
      <c r="B157" s="41" t="n"/>
      <c r="C157" s="42" t="n"/>
      <c r="D157" s="40" t="n"/>
      <c r="E157" s="40" t="n"/>
      <c r="F157" s="40" t="n"/>
      <c r="G157" s="40" t="n"/>
    </row>
    <row r="158">
      <c r="A158" s="40" t="n"/>
      <c r="B158" s="41" t="n"/>
      <c r="C158" s="42" t="n"/>
      <c r="D158" s="40" t="n"/>
      <c r="E158" s="40" t="n"/>
      <c r="F158" s="40" t="n"/>
      <c r="G158" s="40" t="n"/>
    </row>
    <row r="159">
      <c r="A159" s="40" t="n"/>
      <c r="B159" s="41" t="n"/>
      <c r="C159" s="42" t="n"/>
      <c r="D159" s="40" t="n"/>
      <c r="E159" s="40" t="n"/>
      <c r="F159" s="40" t="n"/>
      <c r="G159" s="40" t="n"/>
    </row>
    <row r="160">
      <c r="A160" s="40" t="n"/>
      <c r="B160" s="41" t="n"/>
      <c r="C160" s="42" t="n"/>
      <c r="D160" s="40" t="n"/>
      <c r="E160" s="40" t="n"/>
      <c r="F160" s="40" t="n"/>
      <c r="G160" s="40" t="n"/>
    </row>
    <row r="161">
      <c r="A161" s="40" t="n"/>
      <c r="B161" s="41" t="n"/>
      <c r="C161" s="42" t="n"/>
      <c r="D161" s="40" t="n"/>
      <c r="E161" s="40" t="n"/>
      <c r="F161" s="40" t="n"/>
      <c r="G161" s="40" t="n"/>
    </row>
    <row r="162">
      <c r="A162" s="40" t="n"/>
      <c r="B162" s="41" t="n"/>
      <c r="C162" s="42" t="n"/>
      <c r="D162" s="40" t="n"/>
      <c r="E162" s="40" t="n"/>
      <c r="F162" s="40" t="n"/>
      <c r="G162" s="40" t="n"/>
    </row>
    <row r="163">
      <c r="A163" s="40" t="n"/>
      <c r="B163" s="41" t="n"/>
      <c r="C163" s="42" t="n"/>
      <c r="D163" s="40" t="n"/>
      <c r="E163" s="40" t="n"/>
      <c r="F163" s="40" t="n"/>
      <c r="G163" s="40" t="n"/>
    </row>
    <row r="164">
      <c r="A164" s="40" t="n"/>
      <c r="B164" s="41" t="n"/>
      <c r="C164" s="42" t="n"/>
      <c r="D164" s="40" t="n"/>
      <c r="E164" s="40" t="n"/>
      <c r="F164" s="40" t="n"/>
      <c r="G164" s="40" t="n"/>
    </row>
    <row r="165">
      <c r="A165" s="40" t="n"/>
      <c r="B165" s="41" t="n"/>
      <c r="C165" s="42" t="n"/>
      <c r="D165" s="40" t="n"/>
      <c r="E165" s="40" t="n"/>
      <c r="F165" s="40" t="n"/>
      <c r="G165" s="40" t="n"/>
    </row>
    <row r="166">
      <c r="A166" s="40" t="n"/>
      <c r="B166" s="41" t="n"/>
      <c r="C166" s="42" t="n"/>
      <c r="D166" s="40" t="n"/>
      <c r="E166" s="40" t="n"/>
      <c r="F166" s="40" t="n"/>
      <c r="G166" s="40" t="n"/>
    </row>
    <row r="167">
      <c r="A167" s="40" t="n"/>
      <c r="B167" s="41" t="n"/>
      <c r="C167" s="42" t="n"/>
      <c r="D167" s="40" t="n"/>
      <c r="E167" s="40" t="n"/>
      <c r="F167" s="40" t="n"/>
      <c r="G167" s="40" t="n"/>
    </row>
    <row r="168">
      <c r="A168" s="40" t="n"/>
      <c r="B168" s="41" t="n"/>
      <c r="C168" s="42" t="n"/>
      <c r="D168" s="40" t="n"/>
      <c r="E168" s="40" t="n"/>
      <c r="F168" s="40" t="n"/>
      <c r="G168" s="40" t="n"/>
    </row>
    <row r="169">
      <c r="A169" s="40" t="n"/>
      <c r="B169" s="41" t="n"/>
      <c r="C169" s="42" t="n"/>
      <c r="D169" s="40" t="n"/>
      <c r="E169" s="40" t="n"/>
      <c r="F169" s="40" t="n"/>
      <c r="G169" s="40" t="n"/>
    </row>
    <row r="170">
      <c r="A170" s="40" t="n"/>
      <c r="B170" s="41" t="n"/>
      <c r="C170" s="42" t="n"/>
      <c r="D170" s="40" t="n"/>
      <c r="E170" s="40" t="n"/>
      <c r="F170" s="40" t="n"/>
      <c r="G170" s="40" t="n"/>
    </row>
    <row r="171">
      <c r="A171" s="40" t="n"/>
      <c r="B171" s="41" t="n"/>
      <c r="C171" s="42" t="n"/>
      <c r="D171" s="40" t="n"/>
      <c r="E171" s="40" t="n"/>
      <c r="F171" s="40" t="n"/>
      <c r="G171" s="40" t="n"/>
    </row>
    <row r="172">
      <c r="A172" s="40" t="n"/>
      <c r="B172" s="41" t="n"/>
      <c r="C172" s="42" t="n"/>
      <c r="D172" s="40" t="n"/>
      <c r="E172" s="40" t="n"/>
      <c r="F172" s="40" t="n"/>
      <c r="G172" s="40" t="n"/>
    </row>
    <row r="173">
      <c r="A173" s="40" t="n"/>
      <c r="B173" s="41" t="n"/>
      <c r="C173" s="42" t="n"/>
      <c r="D173" s="40" t="n"/>
      <c r="E173" s="40" t="n"/>
      <c r="F173" s="40" t="n"/>
      <c r="G173" s="40" t="n"/>
    </row>
    <row r="174">
      <c r="A174" s="40" t="n"/>
      <c r="B174" s="41" t="n"/>
      <c r="C174" s="42" t="n"/>
      <c r="D174" s="40" t="n"/>
      <c r="E174" s="40" t="n"/>
      <c r="F174" s="40" t="n"/>
      <c r="G174" s="40" t="n"/>
    </row>
    <row r="175">
      <c r="A175" s="40" t="n"/>
      <c r="B175" s="41" t="n"/>
      <c r="C175" s="42" t="n"/>
      <c r="D175" s="40" t="n"/>
      <c r="E175" s="40" t="n"/>
      <c r="F175" s="40" t="n"/>
      <c r="G175" s="40" t="n"/>
    </row>
    <row r="176">
      <c r="A176" s="40" t="n"/>
      <c r="B176" s="41" t="n"/>
      <c r="C176" s="42" t="n"/>
      <c r="D176" s="40" t="n"/>
      <c r="E176" s="40" t="n"/>
      <c r="F176" s="40" t="n"/>
      <c r="G176" s="40" t="n"/>
    </row>
    <row r="177">
      <c r="A177" s="40" t="n"/>
      <c r="B177" s="41" t="n"/>
      <c r="C177" s="42" t="n"/>
      <c r="D177" s="40" t="n"/>
      <c r="E177" s="40" t="n"/>
      <c r="F177" s="40" t="n"/>
      <c r="G177" s="40" t="n"/>
    </row>
    <row r="178">
      <c r="A178" s="40" t="n"/>
      <c r="B178" s="41" t="n"/>
      <c r="C178" s="42" t="n"/>
      <c r="D178" s="40" t="n"/>
      <c r="E178" s="40" t="n"/>
      <c r="F178" s="40" t="n"/>
      <c r="G178" s="40" t="n"/>
    </row>
    <row r="179">
      <c r="A179" s="40" t="n"/>
      <c r="B179" s="41" t="n"/>
      <c r="C179" s="42" t="n"/>
      <c r="D179" s="40" t="n"/>
      <c r="E179" s="40" t="n"/>
      <c r="F179" s="40" t="n"/>
      <c r="G179" s="40" t="n"/>
    </row>
    <row r="180">
      <c r="A180" s="40" t="n"/>
      <c r="B180" s="41" t="n"/>
      <c r="C180" s="42" t="n"/>
      <c r="D180" s="40" t="n"/>
      <c r="E180" s="40" t="n"/>
      <c r="F180" s="40" t="n"/>
      <c r="G180" s="40" t="n"/>
    </row>
    <row r="181">
      <c r="A181" s="40" t="n"/>
      <c r="B181" s="41" t="n"/>
      <c r="C181" s="42" t="n"/>
      <c r="D181" s="40" t="n"/>
      <c r="E181" s="40" t="n"/>
      <c r="F181" s="40" t="n"/>
      <c r="G181" s="40" t="n"/>
    </row>
    <row r="182">
      <c r="A182" s="40" t="n"/>
      <c r="B182" s="41" t="n"/>
      <c r="C182" s="42" t="n"/>
      <c r="D182" s="40" t="n"/>
      <c r="E182" s="40" t="n"/>
      <c r="F182" s="40" t="n"/>
      <c r="G182" s="40" t="n"/>
    </row>
    <row r="183">
      <c r="A183" s="40" t="n"/>
      <c r="B183" s="41" t="n"/>
      <c r="C183" s="42" t="n"/>
      <c r="D183" s="40" t="n"/>
      <c r="E183" s="40" t="n"/>
      <c r="F183" s="40" t="n"/>
      <c r="G183" s="40" t="n"/>
    </row>
    <row r="184">
      <c r="A184" s="40" t="n"/>
      <c r="B184" s="41" t="n"/>
      <c r="C184" s="42" t="n"/>
      <c r="D184" s="40" t="n"/>
      <c r="E184" s="40" t="n"/>
      <c r="F184" s="40" t="n"/>
      <c r="G184" s="40" t="n"/>
    </row>
    <row r="185">
      <c r="A185" s="40" t="n"/>
      <c r="B185" s="41" t="n"/>
      <c r="C185" s="42" t="n"/>
      <c r="D185" s="40" t="n"/>
      <c r="E185" s="40" t="n"/>
      <c r="F185" s="40" t="n"/>
      <c r="G185" s="40" t="n"/>
    </row>
    <row r="186">
      <c r="A186" s="40" t="n"/>
      <c r="B186" s="41" t="n"/>
      <c r="C186" s="42" t="n"/>
      <c r="D186" s="40" t="n"/>
      <c r="E186" s="40" t="n"/>
      <c r="F186" s="40" t="n"/>
      <c r="G186" s="40" t="n"/>
    </row>
    <row r="187">
      <c r="A187" s="40" t="n"/>
      <c r="B187" s="41" t="n"/>
      <c r="C187" s="42" t="n"/>
      <c r="D187" s="40" t="n"/>
      <c r="E187" s="40" t="n"/>
      <c r="F187" s="40" t="n"/>
      <c r="G187" s="40" t="n"/>
    </row>
    <row r="188">
      <c r="A188" s="40" t="n"/>
      <c r="B188" s="41" t="n"/>
      <c r="C188" s="42" t="n"/>
      <c r="D188" s="40" t="n"/>
      <c r="E188" s="40" t="n"/>
      <c r="F188" s="40" t="n"/>
      <c r="G188" s="40" t="n"/>
    </row>
    <row r="189">
      <c r="A189" s="40" t="n"/>
      <c r="B189" s="41" t="n"/>
      <c r="C189" s="42" t="n"/>
      <c r="D189" s="40" t="n"/>
      <c r="E189" s="40" t="n"/>
      <c r="F189" s="40" t="n"/>
      <c r="G189" s="40" t="n"/>
    </row>
    <row r="190">
      <c r="A190" s="40" t="n"/>
      <c r="B190" s="41" t="n"/>
      <c r="C190" s="42" t="n"/>
      <c r="D190" s="40" t="n"/>
      <c r="E190" s="40" t="n"/>
      <c r="F190" s="40" t="n"/>
      <c r="G190" s="40" t="n"/>
    </row>
    <row r="191">
      <c r="A191" s="40" t="n"/>
      <c r="B191" s="41" t="n"/>
      <c r="C191" s="42" t="n"/>
      <c r="D191" s="40" t="n"/>
      <c r="E191" s="40" t="n"/>
      <c r="F191" s="40" t="n"/>
      <c r="G191" s="40" t="n"/>
    </row>
    <row r="192">
      <c r="A192" s="40" t="n"/>
      <c r="B192" s="41" t="n"/>
      <c r="C192" s="42" t="n"/>
      <c r="D192" s="40" t="n"/>
      <c r="E192" s="40" t="n"/>
      <c r="F192" s="40" t="n"/>
      <c r="G192" s="40" t="n"/>
    </row>
    <row r="193">
      <c r="A193" s="40" t="n"/>
      <c r="B193" s="41" t="n"/>
      <c r="C193" s="42" t="n"/>
      <c r="D193" s="40" t="n"/>
      <c r="E193" s="40" t="n"/>
      <c r="F193" s="40" t="n"/>
      <c r="G193" s="40" t="n"/>
    </row>
    <row r="194">
      <c r="A194" s="40" t="n"/>
      <c r="B194" s="41" t="n"/>
      <c r="C194" s="42" t="n"/>
      <c r="D194" s="40" t="n"/>
      <c r="E194" s="40" t="n"/>
      <c r="F194" s="40" t="n"/>
      <c r="G194" s="40" t="n"/>
    </row>
    <row r="195">
      <c r="A195" s="40" t="n"/>
      <c r="B195" s="41" t="n"/>
      <c r="C195" s="42" t="n"/>
      <c r="D195" s="40" t="n"/>
      <c r="E195" s="40" t="n"/>
      <c r="F195" s="40" t="n"/>
      <c r="G195" s="40" t="n"/>
    </row>
    <row r="196">
      <c r="A196" s="40" t="n"/>
      <c r="B196" s="41" t="n"/>
      <c r="C196" s="42" t="n"/>
      <c r="D196" s="40" t="n"/>
      <c r="E196" s="40" t="n"/>
      <c r="F196" s="40" t="n"/>
      <c r="G196" s="40" t="n"/>
    </row>
    <row r="197">
      <c r="A197" s="40" t="n"/>
      <c r="B197" s="41" t="n"/>
      <c r="C197" s="42" t="n"/>
      <c r="D197" s="40" t="n"/>
      <c r="E197" s="40" t="n"/>
      <c r="F197" s="40" t="n"/>
      <c r="G197" s="40" t="n"/>
    </row>
    <row r="198">
      <c r="A198" s="40" t="n"/>
      <c r="B198" s="41" t="n"/>
      <c r="C198" s="42" t="n"/>
      <c r="D198" s="40" t="n"/>
      <c r="E198" s="40" t="n"/>
      <c r="F198" s="40" t="n"/>
      <c r="G198" s="40" t="n"/>
    </row>
    <row r="199">
      <c r="A199" s="40" t="n"/>
      <c r="B199" s="41" t="n"/>
      <c r="C199" s="42" t="n"/>
      <c r="D199" s="40" t="n"/>
      <c r="E199" s="40" t="n"/>
      <c r="F199" s="40" t="n"/>
      <c r="G199" s="40" t="n"/>
    </row>
    <row r="200">
      <c r="A200" s="40" t="n"/>
      <c r="B200" s="41" t="n"/>
      <c r="C200" s="42" t="n"/>
      <c r="D200" s="40" t="n"/>
      <c r="E200" s="40" t="n"/>
      <c r="F200" s="40" t="n"/>
      <c r="G200" s="40" t="n"/>
    </row>
    <row r="201">
      <c r="A201" s="40" t="n"/>
      <c r="B201" s="41" t="n"/>
      <c r="C201" s="42" t="n"/>
      <c r="D201" s="40" t="n"/>
      <c r="E201" s="40" t="n"/>
      <c r="F201" s="40" t="n"/>
      <c r="G201" s="40" t="n"/>
    </row>
    <row r="202">
      <c r="A202" s="40" t="n"/>
      <c r="B202" s="41" t="n"/>
      <c r="C202" s="42" t="n"/>
      <c r="D202" s="40" t="n"/>
      <c r="E202" s="40" t="n"/>
      <c r="F202" s="40" t="n"/>
      <c r="G202" s="40" t="n"/>
    </row>
    <row r="203">
      <c r="A203" s="40" t="n"/>
      <c r="B203" s="41" t="n"/>
      <c r="C203" s="42" t="n"/>
      <c r="D203" s="40" t="n"/>
      <c r="E203" s="40" t="n"/>
      <c r="F203" s="40" t="n"/>
      <c r="G203" s="40" t="n"/>
    </row>
    <row r="204">
      <c r="A204" s="40" t="n"/>
      <c r="B204" s="41" t="n"/>
      <c r="C204" s="42" t="n"/>
      <c r="D204" s="40" t="n"/>
      <c r="E204" s="40" t="n"/>
      <c r="F204" s="40" t="n"/>
      <c r="G204" s="40" t="n"/>
    </row>
    <row r="205">
      <c r="A205" s="40" t="n"/>
      <c r="B205" s="41" t="n"/>
      <c r="C205" s="42" t="n"/>
      <c r="D205" s="40" t="n"/>
      <c r="E205" s="40" t="n"/>
      <c r="F205" s="40" t="n"/>
      <c r="G205" s="40" t="n"/>
    </row>
    <row r="206">
      <c r="A206" s="40" t="n"/>
      <c r="B206" s="41" t="n"/>
      <c r="C206" s="42" t="n"/>
      <c r="D206" s="40" t="n"/>
      <c r="E206" s="40" t="n"/>
      <c r="F206" s="40" t="n"/>
      <c r="G206" s="40" t="n"/>
    </row>
    <row r="207">
      <c r="A207" s="40" t="n"/>
      <c r="B207" s="41" t="n"/>
      <c r="C207" s="42" t="n"/>
      <c r="D207" s="40" t="n"/>
      <c r="E207" s="40" t="n"/>
      <c r="F207" s="40" t="n"/>
      <c r="G207" s="40" t="n"/>
    </row>
    <row r="208">
      <c r="A208" s="40" t="n"/>
      <c r="B208" s="41" t="n"/>
      <c r="C208" s="42" t="n"/>
      <c r="D208" s="40" t="n"/>
      <c r="E208" s="40" t="n"/>
      <c r="F208" s="40" t="n"/>
      <c r="G208" s="40" t="n"/>
    </row>
    <row r="209">
      <c r="A209" s="40" t="n"/>
      <c r="B209" s="41" t="n"/>
      <c r="C209" s="42" t="n"/>
      <c r="D209" s="40" t="n"/>
      <c r="E209" s="40" t="n"/>
      <c r="F209" s="40" t="n"/>
      <c r="G209" s="40" t="n"/>
    </row>
    <row r="210">
      <c r="A210" s="40" t="n"/>
      <c r="B210" s="41" t="n"/>
      <c r="C210" s="42" t="n"/>
      <c r="D210" s="40" t="n"/>
      <c r="E210" s="40" t="n"/>
      <c r="F210" s="40" t="n"/>
      <c r="G210" s="40" t="n"/>
    </row>
    <row r="211">
      <c r="A211" s="40" t="n"/>
      <c r="B211" s="41" t="n"/>
      <c r="C211" s="42" t="n"/>
      <c r="D211" s="40" t="n"/>
      <c r="E211" s="40" t="n"/>
      <c r="F211" s="40" t="n"/>
      <c r="G211" s="40" t="n"/>
    </row>
    <row r="212">
      <c r="A212" s="40" t="n"/>
      <c r="B212" s="41" t="n"/>
      <c r="C212" s="42" t="n"/>
      <c r="D212" s="40" t="n"/>
      <c r="E212" s="40" t="n"/>
      <c r="F212" s="40" t="n"/>
      <c r="G212" s="40" t="n"/>
    </row>
    <row r="213">
      <c r="A213" s="40" t="n"/>
      <c r="B213" s="41" t="n"/>
      <c r="C213" s="42" t="n"/>
      <c r="D213" s="40" t="n"/>
      <c r="E213" s="40" t="n"/>
      <c r="F213" s="40" t="n"/>
      <c r="G213" s="40" t="n"/>
    </row>
    <row r="214">
      <c r="A214" s="40" t="n"/>
      <c r="B214" s="41" t="n"/>
      <c r="C214" s="42" t="n"/>
      <c r="D214" s="40" t="n"/>
      <c r="E214" s="40" t="n"/>
      <c r="F214" s="40" t="n"/>
      <c r="G214" s="40" t="n"/>
    </row>
    <row r="215">
      <c r="A215" s="40" t="n"/>
      <c r="B215" s="41" t="n"/>
      <c r="C215" s="42" t="n"/>
      <c r="D215" s="40" t="n"/>
      <c r="E215" s="40" t="n"/>
      <c r="F215" s="40" t="n"/>
      <c r="G215" s="40" t="n"/>
    </row>
    <row r="216">
      <c r="A216" s="40" t="n"/>
      <c r="B216" s="41" t="n"/>
      <c r="C216" s="42" t="n"/>
      <c r="D216" s="40" t="n"/>
      <c r="E216" s="40" t="n"/>
      <c r="F216" s="40" t="n"/>
      <c r="G216" s="40" t="n"/>
    </row>
    <row r="217">
      <c r="A217" s="40" t="n"/>
      <c r="B217" s="41" t="n"/>
      <c r="C217" s="42" t="n"/>
      <c r="D217" s="40" t="n"/>
      <c r="E217" s="40" t="n"/>
      <c r="F217" s="40" t="n"/>
      <c r="G217" s="40" t="n"/>
    </row>
    <row r="218">
      <c r="A218" s="40" t="n"/>
      <c r="B218" s="41" t="n"/>
      <c r="C218" s="42" t="n"/>
      <c r="D218" s="40" t="n"/>
      <c r="E218" s="40" t="n"/>
      <c r="F218" s="40" t="n"/>
      <c r="G218" s="40" t="n"/>
    </row>
    <row r="219">
      <c r="A219" s="40" t="n"/>
      <c r="B219" s="41" t="n"/>
      <c r="C219" s="42" t="n"/>
      <c r="D219" s="40" t="n"/>
      <c r="E219" s="40" t="n"/>
      <c r="F219" s="40" t="n"/>
      <c r="G219" s="40" t="n"/>
    </row>
    <row r="220">
      <c r="A220" s="40" t="n"/>
      <c r="B220" s="41" t="n"/>
      <c r="C220" s="42" t="n"/>
      <c r="D220" s="40" t="n"/>
      <c r="E220" s="40" t="n"/>
      <c r="F220" s="40" t="n"/>
      <c r="G220" s="40" t="n"/>
    </row>
    <row r="221">
      <c r="A221" s="40" t="n"/>
      <c r="B221" s="41" t="n"/>
      <c r="C221" s="42" t="n"/>
      <c r="D221" s="40" t="n"/>
      <c r="E221" s="40" t="n"/>
      <c r="F221" s="40" t="n"/>
      <c r="G221" s="40" t="n"/>
    </row>
    <row r="222">
      <c r="A222" s="40" t="n"/>
      <c r="B222" s="41" t="n"/>
      <c r="C222" s="42" t="n"/>
      <c r="D222" s="40" t="n"/>
      <c r="E222" s="40" t="n"/>
      <c r="F222" s="40" t="n"/>
      <c r="G222" s="40" t="n"/>
    </row>
    <row r="223">
      <c r="A223" s="40" t="n"/>
      <c r="B223" s="41" t="n"/>
      <c r="C223" s="42" t="n"/>
      <c r="D223" s="40" t="n"/>
      <c r="E223" s="40" t="n"/>
      <c r="F223" s="40" t="n"/>
      <c r="G223" s="40" t="n"/>
    </row>
    <row r="224">
      <c r="A224" s="40" t="n"/>
      <c r="B224" s="41" t="n"/>
      <c r="C224" s="42" t="n"/>
      <c r="D224" s="40" t="n"/>
      <c r="E224" s="40" t="n"/>
      <c r="F224" s="40" t="n"/>
      <c r="G224" s="40" t="n"/>
    </row>
    <row r="225">
      <c r="A225" s="40" t="n"/>
      <c r="B225" s="41" t="n"/>
      <c r="C225" s="42" t="n"/>
      <c r="D225" s="40" t="n"/>
      <c r="E225" s="40" t="n"/>
      <c r="F225" s="40" t="n"/>
      <c r="G225" s="40" t="n"/>
    </row>
    <row r="226">
      <c r="A226" s="40" t="n"/>
      <c r="B226" s="41" t="n"/>
      <c r="C226" s="42" t="n"/>
      <c r="D226" s="40" t="n"/>
      <c r="E226" s="40" t="n"/>
      <c r="F226" s="40" t="n"/>
      <c r="G226" s="40" t="n"/>
    </row>
    <row r="227">
      <c r="A227" s="40" t="n"/>
      <c r="B227" s="41" t="n"/>
      <c r="C227" s="42" t="n"/>
      <c r="D227" s="40" t="n"/>
      <c r="E227" s="40" t="n"/>
      <c r="F227" s="40" t="n"/>
      <c r="G227" s="40" t="n"/>
    </row>
    <row r="228">
      <c r="A228" s="40" t="n"/>
      <c r="B228" s="41" t="n"/>
      <c r="C228" s="42" t="n"/>
      <c r="D228" s="40" t="n"/>
      <c r="E228" s="40" t="n"/>
      <c r="F228" s="40" t="n"/>
      <c r="G228" s="40" t="n"/>
    </row>
    <row r="229">
      <c r="A229" s="40" t="n"/>
      <c r="B229" s="41" t="n"/>
      <c r="C229" s="42" t="n"/>
      <c r="D229" s="40" t="n"/>
      <c r="E229" s="40" t="n"/>
      <c r="F229" s="40" t="n"/>
      <c r="G229" s="40" t="n"/>
    </row>
    <row r="230">
      <c r="A230" s="40" t="n"/>
      <c r="B230" s="41" t="n"/>
      <c r="C230" s="42" t="n"/>
      <c r="D230" s="40" t="n"/>
      <c r="E230" s="40" t="n"/>
      <c r="F230" s="40" t="n"/>
      <c r="G230" s="40" t="n"/>
    </row>
    <row r="231">
      <c r="A231" s="40" t="n"/>
      <c r="B231" s="41" t="n"/>
      <c r="C231" s="42" t="n"/>
      <c r="D231" s="40" t="n"/>
      <c r="E231" s="40" t="n"/>
      <c r="F231" s="40" t="n"/>
      <c r="G231" s="40" t="n"/>
    </row>
    <row r="232">
      <c r="A232" s="40" t="n"/>
      <c r="B232" s="41" t="n"/>
      <c r="C232" s="42" t="n"/>
      <c r="D232" s="40" t="n"/>
      <c r="E232" s="40" t="n"/>
      <c r="F232" s="40" t="n"/>
      <c r="G232" s="40" t="n"/>
    </row>
    <row r="233">
      <c r="A233" s="40" t="n"/>
      <c r="B233" s="41" t="n"/>
      <c r="C233" s="42" t="n"/>
      <c r="D233" s="40" t="n"/>
      <c r="E233" s="40" t="n"/>
      <c r="F233" s="40" t="n"/>
      <c r="G233" s="40" t="n"/>
    </row>
    <row r="234">
      <c r="A234" s="40" t="n"/>
      <c r="B234" s="41" t="n"/>
      <c r="C234" s="42" t="n"/>
      <c r="D234" s="40" t="n"/>
      <c r="E234" s="40" t="n"/>
      <c r="F234" s="40" t="n"/>
      <c r="G234" s="40" t="n"/>
    </row>
    <row r="235">
      <c r="A235" s="40" t="n"/>
      <c r="B235" s="41" t="n"/>
      <c r="C235" s="42" t="n"/>
      <c r="D235" s="40" t="n"/>
      <c r="E235" s="40" t="n"/>
      <c r="F235" s="40" t="n"/>
      <c r="G235" s="40" t="n"/>
    </row>
    <row r="236">
      <c r="A236" s="40" t="n"/>
      <c r="B236" s="41" t="n"/>
      <c r="C236" s="42" t="n"/>
      <c r="D236" s="40" t="n"/>
      <c r="E236" s="40" t="n"/>
      <c r="F236" s="40" t="n"/>
      <c r="G236" s="40" t="n"/>
    </row>
    <row r="237">
      <c r="A237" s="40" t="n"/>
      <c r="B237" s="41" t="n"/>
      <c r="C237" s="42" t="n"/>
      <c r="D237" s="40" t="n"/>
      <c r="E237" s="40" t="n"/>
      <c r="F237" s="40" t="n"/>
      <c r="G237" s="40" t="n"/>
    </row>
    <row r="238">
      <c r="A238" s="40" t="n"/>
      <c r="B238" s="41" t="n"/>
      <c r="C238" s="42" t="n"/>
      <c r="D238" s="40" t="n"/>
      <c r="E238" s="40" t="n"/>
      <c r="F238" s="40" t="n"/>
      <c r="G238" s="40" t="n"/>
    </row>
    <row r="239">
      <c r="A239" s="40" t="n"/>
      <c r="B239" s="41" t="n"/>
      <c r="C239" s="42" t="n"/>
      <c r="D239" s="40" t="n"/>
      <c r="E239" s="40" t="n"/>
      <c r="F239" s="40" t="n"/>
      <c r="G239" s="40" t="n"/>
    </row>
    <row r="240">
      <c r="A240" s="40" t="n"/>
      <c r="B240" s="41" t="n"/>
      <c r="C240" s="42" t="n"/>
      <c r="D240" s="40" t="n"/>
      <c r="E240" s="40" t="n"/>
      <c r="F240" s="40" t="n"/>
      <c r="G240" s="40" t="n"/>
    </row>
    <row r="241">
      <c r="A241" s="40" t="n"/>
      <c r="B241" s="41" t="n"/>
      <c r="C241" s="42" t="n"/>
      <c r="D241" s="40" t="n"/>
      <c r="E241" s="40" t="n"/>
      <c r="F241" s="40" t="n"/>
      <c r="G241" s="40" t="n"/>
    </row>
    <row r="242">
      <c r="A242" s="40" t="n"/>
      <c r="B242" s="41" t="n"/>
      <c r="C242" s="42" t="n"/>
      <c r="D242" s="40" t="n"/>
      <c r="E242" s="40" t="n"/>
      <c r="F242" s="40" t="n"/>
      <c r="G242" s="40" t="n"/>
    </row>
    <row r="243">
      <c r="A243" s="40" t="n"/>
      <c r="B243" s="41" t="n"/>
      <c r="C243" s="42" t="n"/>
      <c r="D243" s="40" t="n"/>
      <c r="E243" s="40" t="n"/>
      <c r="F243" s="40" t="n"/>
      <c r="G243" s="40" t="n"/>
    </row>
    <row r="244">
      <c r="A244" s="40" t="n"/>
      <c r="B244" s="41" t="n"/>
      <c r="C244" s="42" t="n"/>
      <c r="D244" s="40" t="n"/>
      <c r="E244" s="40" t="n"/>
      <c r="F244" s="40" t="n"/>
      <c r="G244" s="40" t="n"/>
    </row>
    <row r="245">
      <c r="A245" s="40" t="n"/>
      <c r="B245" s="41" t="n"/>
      <c r="C245" s="42" t="n"/>
      <c r="D245" s="40" t="n"/>
      <c r="E245" s="40" t="n"/>
      <c r="F245" s="40" t="n"/>
      <c r="G245" s="40" t="n"/>
    </row>
    <row r="246">
      <c r="A246" s="40" t="n"/>
      <c r="B246" s="41" t="n"/>
      <c r="C246" s="42" t="n"/>
      <c r="D246" s="40" t="n"/>
      <c r="E246" s="40" t="n"/>
      <c r="F246" s="40" t="n"/>
      <c r="G246" s="40" t="n"/>
    </row>
    <row r="247">
      <c r="A247" s="40" t="n"/>
      <c r="B247" s="41" t="n"/>
      <c r="C247" s="42" t="n"/>
      <c r="D247" s="40" t="n"/>
      <c r="E247" s="40" t="n"/>
      <c r="F247" s="40" t="n"/>
      <c r="G247" s="40" t="n"/>
    </row>
    <row r="248">
      <c r="A248" s="40" t="n"/>
      <c r="B248" s="41" t="n"/>
      <c r="C248" s="42" t="n"/>
      <c r="D248" s="40" t="n"/>
      <c r="E248" s="40" t="n"/>
      <c r="F248" s="40" t="n"/>
      <c r="G248" s="40" t="n"/>
    </row>
    <row r="249">
      <c r="A249" s="40" t="n"/>
      <c r="B249" s="41" t="n"/>
      <c r="C249" s="42" t="n"/>
      <c r="D249" s="40" t="n"/>
      <c r="E249" s="40" t="n"/>
      <c r="F249" s="40" t="n"/>
      <c r="G249" s="40" t="n"/>
    </row>
    <row r="250">
      <c r="A250" s="40" t="n"/>
      <c r="B250" s="41" t="n"/>
      <c r="C250" s="42" t="n"/>
      <c r="D250" s="40" t="n"/>
      <c r="E250" s="40" t="n"/>
      <c r="F250" s="40" t="n"/>
      <c r="G250" s="40" t="n"/>
    </row>
    <row r="251">
      <c r="A251" s="40" t="n"/>
      <c r="B251" s="41" t="n"/>
      <c r="C251" s="42" t="n"/>
      <c r="D251" s="40" t="n"/>
      <c r="E251" s="40" t="n"/>
      <c r="F251" s="40" t="n"/>
      <c r="G251" s="40" t="n"/>
    </row>
    <row r="252">
      <c r="A252" s="14" t="inlineStr">
        <is>
          <t>Total</t>
        </is>
      </c>
      <c r="C252" s="44">
        <f>SUM(C132:C251)</f>
        <v/>
      </c>
    </row>
  </sheetData>
  <sheetProtection selectLockedCells="0" selectUnlockedCells="0" sheet="1" objects="0" insertRows="0" insertHyperlinks="1" autoFilter="0" scenarios="0" formatColumns="0" deleteColumns="1" insertColumns="1" pivotTables="1" deleteRows="0" formatCells="1" formatRows="0" sort="0" password="BBBC"/>
  <pageMargins left="0.75" right="0.75" top="1" bottom="1" header="0.5" footer="0.5"/>
</worksheet>
</file>

<file path=xl/worksheets/sheet9.xml><?xml version="1.0" encoding="utf-8"?>
<worksheet xmlns="http://schemas.openxmlformats.org/spreadsheetml/2006/main">
  <sheetPr>
    <tabColor rgb="001E3A8A"/>
    <outlinePr summaryBelow="1" summaryRight="1"/>
    <pageSetUpPr/>
  </sheetPr>
  <dimension ref="A1:E30"/>
  <sheetViews>
    <sheetView showGridLines="0" workbookViewId="0">
      <selection activeCell="A1" sqref="A1"/>
    </sheetView>
  </sheetViews>
  <sheetFormatPr baseColWidth="8" defaultRowHeight="15"/>
  <cols>
    <col width="46" customWidth="1" min="1" max="1"/>
    <col width="16" customWidth="1" min="2" max="2"/>
    <col width="16" customWidth="1" min="3" max="3"/>
    <col width="16" customWidth="1" min="4" max="4"/>
    <col width="40" customWidth="1" min="5" max="5"/>
  </cols>
  <sheetData>
    <row r="1"/>
    <row r="2">
      <c r="A2" s="3" t="inlineStr">
        <is>
          <t>Earnings per share (AS 20) - working</t>
        </is>
      </c>
    </row>
    <row r="3">
      <c r="A3" s="7" t="inlineStr">
        <is>
          <t>Weighted average by days over the year to the balance sheet date. For bonus/split during or after the year, enter the retrospective factor (e.g. 1:1 bonus = 2). Use the online tool for rights-issue TERP: calcguru.in/eps-calculator-as-20/</t>
        </is>
      </c>
    </row>
    <row r="4"/>
    <row r="5">
      <c r="A5" s="4" t="inlineStr">
        <is>
          <t>Opening equity shares (from Setup, PY closing)</t>
        </is>
      </c>
      <c r="B5" s="43">
        <f>Setup!C23</f>
        <v/>
      </c>
    </row>
    <row r="6">
      <c r="A6" s="5" t="inlineStr">
        <is>
          <t>Share issues (+) / buy-backs (-) during the year</t>
        </is>
      </c>
    </row>
    <row r="7">
      <c r="A7" s="12" t="inlineStr">
        <is>
          <t>Event date</t>
        </is>
      </c>
      <c r="B7" s="12" t="inlineStr">
        <is>
          <t>Shares (+/-)</t>
        </is>
      </c>
      <c r="C7" s="12" t="inlineStr">
        <is>
          <t>Weighted (auto)</t>
        </is>
      </c>
    </row>
    <row r="8">
      <c r="A8" s="41" t="n"/>
      <c r="B8" s="42" t="n"/>
      <c r="C8" s="47">
        <f>IF(OR(A8="",B8=0),0,B8*(BSD-A8+1)/(BSD-PBSD))</f>
        <v/>
      </c>
    </row>
    <row r="9">
      <c r="A9" s="41" t="n"/>
      <c r="B9" s="42" t="n"/>
      <c r="C9" s="47">
        <f>IF(OR(A9="",B9=0),0,B9*(BSD-A9+1)/(BSD-PBSD))</f>
        <v/>
      </c>
    </row>
    <row r="10">
      <c r="A10" s="41" t="n"/>
      <c r="B10" s="42" t="n"/>
      <c r="C10" s="47">
        <f>IF(OR(A10="",B10=0),0,B10*(BSD-A10+1)/(BSD-PBSD))</f>
        <v/>
      </c>
    </row>
    <row r="11">
      <c r="A11" s="41" t="n"/>
      <c r="B11" s="42" t="n"/>
      <c r="C11" s="47">
        <f>IF(OR(A11="",B11=0),0,B11*(BSD-A11+1)/(BSD-PBSD))</f>
        <v/>
      </c>
    </row>
    <row r="12">
      <c r="A12" s="41" t="n"/>
      <c r="B12" s="42" t="n"/>
      <c r="C12" s="47">
        <f>IF(OR(A12="",B12=0),0,B12*(BSD-A12+1)/(BSD-PBSD))</f>
        <v/>
      </c>
    </row>
    <row r="13">
      <c r="A13" s="41" t="n"/>
      <c r="B13" s="42" t="n"/>
      <c r="C13" s="47">
        <f>IF(OR(A13="",B13=0),0,B13*(BSD-A13+1)/(BSD-PBSD))</f>
        <v/>
      </c>
    </row>
    <row r="14">
      <c r="A14" s="41" t="n"/>
      <c r="B14" s="42" t="n"/>
      <c r="C14" s="47">
        <f>IF(OR(A14="",B14=0),0,B14*(BSD-A14+1)/(BSD-PBSD))</f>
        <v/>
      </c>
    </row>
    <row r="15">
      <c r="A15" s="41" t="n"/>
      <c r="B15" s="42" t="n"/>
      <c r="C15" s="47">
        <f>IF(OR(A15="",B15=0),0,B15*(BSD-A15+1)/(BSD-PBSD))</f>
        <v/>
      </c>
    </row>
    <row r="16">
      <c r="A16" s="4" t="inlineStr">
        <is>
          <t>Bonus / split retrospective factor (1 if none)</t>
        </is>
      </c>
      <c r="B16" s="46" t="n">
        <v>1</v>
      </c>
    </row>
    <row r="17">
      <c r="A17" s="14" t="inlineStr">
        <is>
          <t>Weighted average number of equity shares - basic</t>
        </is>
      </c>
      <c r="B17" s="49">
        <f>(B5+SUM(C8:C15))*B16</f>
        <v/>
      </c>
    </row>
    <row r="18"/>
    <row r="19">
      <c r="A19" s="4" t="inlineStr">
        <is>
          <t>Net profit after tax (auto from P&amp;L, Rs)</t>
        </is>
      </c>
      <c r="B19" s="50">
        <f>Calc!$B$45</f>
        <v/>
      </c>
    </row>
    <row r="20">
      <c r="A20" s="4" t="inlineStr">
        <is>
          <t>Less: preference dividend incl tax (Setup)</t>
        </is>
      </c>
      <c r="B20" s="50">
        <f>Setup!C24</f>
        <v/>
      </c>
    </row>
    <row r="21">
      <c r="A21" s="14" t="inlineStr">
        <is>
          <t>Earnings for basic EPS</t>
        </is>
      </c>
      <c r="B21" s="45">
        <f>B19-B20</f>
        <v/>
      </c>
    </row>
    <row r="22">
      <c r="A22" s="14" t="inlineStr">
        <is>
          <t>Basic EPS (Rs)</t>
        </is>
      </c>
      <c r="B22" s="51">
        <f>IF(B17=0,0,B21/B17)</f>
        <v/>
      </c>
    </row>
    <row r="23"/>
    <row r="24">
      <c r="A24" s="5" t="inlineStr">
        <is>
          <t>Diluted EPS</t>
        </is>
      </c>
    </row>
    <row r="25">
      <c r="A25" s="4" t="inlineStr">
        <is>
          <t>Incremental shares from dilutive potentials (options free shares, conversion shares)</t>
        </is>
      </c>
      <c r="B25" s="42" t="n">
        <v>0</v>
      </c>
    </row>
    <row r="26">
      <c r="A26" s="4" t="inlineStr">
        <is>
          <t>Income adjustment (interest net of tax / pref dividend saved, Rs)</t>
        </is>
      </c>
      <c r="B26" s="42" t="n">
        <v>0</v>
      </c>
    </row>
    <row r="27">
      <c r="A27" s="14" t="inlineStr">
        <is>
          <t>Diluted EPS (Rs)</t>
        </is>
      </c>
      <c r="B27" s="51">
        <f>IF(B17+B25=0,0,IF(OR(B25=0,(B21+B26)/(B17+B25)&gt;B22),B22,(B21+B26)/(B17+B25)))</f>
        <v/>
      </c>
      <c r="E27" s="7" t="inlineStr">
        <is>
          <t>Anti-dilutive potentials are ignored automatically (diluted never exceeds basic).</t>
        </is>
      </c>
    </row>
    <row r="28"/>
    <row r="29">
      <c r="A29" s="4" t="inlineStr">
        <is>
          <t>Previous year basic EPS (Rs, as restated)</t>
        </is>
      </c>
      <c r="B29" s="46" t="n">
        <v>0</v>
      </c>
    </row>
    <row r="30">
      <c r="A30" s="4" t="inlineStr">
        <is>
          <t>Previous year diluted EPS (Rs)</t>
        </is>
      </c>
      <c r="B30" s="46" t="n">
        <v>0</v>
      </c>
    </row>
  </sheetData>
  <sheetProtection selectLockedCells="0" selectUnlockedCells="0" sheet="1" objects="0" insertRows="0" insertHyperlinks="1" autoFilter="0" scenarios="0" formatColumns="0" deleteColumns="1" insertColumns="1" pivotTables="1" deleteRows="0" formatCells="1" formatRows="0" sort="0" password="BBBC"/>
  <pageMargins left="0.75" right="0.75" top="1" bottom="1" header="0.5" footer="0.5"/>
</worksheet>
</file>

<file path=xl/worksheets/sheet10.xml><?xml version="1.0" encoding="utf-8"?>
<worksheet xmlns="http://schemas.openxmlformats.org/spreadsheetml/2006/main">
  <sheetPr>
    <tabColor rgb="000F2A4A"/>
    <outlinePr summaryBelow="1" summaryRight="1"/>
    <pageSetUpPr fitToPage="1"/>
  </sheetPr>
  <dimension ref="A1:E57"/>
  <sheetViews>
    <sheetView showGridLines="0" workbookViewId="0">
      <selection activeCell="A1" sqref="A1"/>
    </sheetView>
  </sheetViews>
  <sheetFormatPr baseColWidth="8" defaultRowHeight="15"/>
  <cols>
    <col width="3" customWidth="1" min="1" max="1"/>
    <col width="52" customWidth="1" min="2" max="2"/>
    <col width="8" customWidth="1" min="3" max="3"/>
    <col width="17" customWidth="1" min="4" max="4"/>
    <col width="17" customWidth="1" min="5" max="5"/>
  </cols>
  <sheetData>
    <row r="1"/>
    <row r="2">
      <c r="B2" s="3" t="inlineStr">
        <is>
          <t>Balance Sheet as at</t>
        </is>
      </c>
      <c r="D2" s="18">
        <f>TEXT(BSD,"dd-mm-yyyy")</f>
        <v/>
      </c>
    </row>
    <row r="3">
      <c r="B3" s="18">
        <f>Setup!C5</f>
        <v/>
      </c>
      <c r="D3" s="13">
        <f>Setup!C27</f>
        <v/>
      </c>
    </row>
    <row r="4">
      <c r="B4" s="13">
        <f>"CIN: "&amp;Setup!C6&amp;"   |   "&amp;Setup!C7</f>
        <v/>
      </c>
    </row>
    <row r="5">
      <c r="B5" s="12" t="inlineStr">
        <is>
          <t>Particulars</t>
        </is>
      </c>
      <c r="C5" s="12" t="inlineStr">
        <is>
          <t>Note</t>
        </is>
      </c>
      <c r="D5" s="12" t="inlineStr">
        <is>
          <t>Current year</t>
        </is>
      </c>
      <c r="E5" s="12" t="inlineStr">
        <is>
          <t>Previous year</t>
        </is>
      </c>
    </row>
    <row r="6">
      <c r="B6" s="14" t="inlineStr">
        <is>
          <t>I. EQUITY AND LIABILITIES</t>
        </is>
      </c>
    </row>
    <row r="7">
      <c r="B7" s="4" t="inlineStr">
        <is>
          <t>1. Shareholders funds</t>
        </is>
      </c>
    </row>
    <row r="8">
      <c r="B8" s="11" t="inlineStr">
        <is>
          <t xml:space="preserve">    (a) Share capital</t>
        </is>
      </c>
      <c r="C8" s="11" t="inlineStr">
        <is>
          <t>2</t>
        </is>
      </c>
      <c r="D8" s="47">
        <f>-Calc!$B$2/RND</f>
        <v/>
      </c>
      <c r="E8" s="47">
        <f>-Calc!$C$2/RND</f>
        <v/>
      </c>
    </row>
    <row r="9">
      <c r="B9" s="11" t="inlineStr">
        <is>
          <t xml:space="preserve">    (b) Reserves and surplus</t>
        </is>
      </c>
      <c r="C9" s="11" t="inlineStr">
        <is>
          <t>3</t>
        </is>
      </c>
      <c r="D9" s="47">
        <f>(-Calc!$B$3+Calc!$B$45)/RND</f>
        <v/>
      </c>
      <c r="E9" s="47">
        <f>(-Calc!$C$3+Calc!$C$46)/RND</f>
        <v/>
      </c>
    </row>
    <row r="10">
      <c r="B10" s="4" t="inlineStr">
        <is>
          <t>2. Non-current liabilities</t>
        </is>
      </c>
    </row>
    <row r="11">
      <c r="B11" s="11" t="inlineStr">
        <is>
          <t xml:space="preserve">    (a) Long-term borrowings</t>
        </is>
      </c>
      <c r="C11" s="11" t="inlineStr">
        <is>
          <t>4</t>
        </is>
      </c>
      <c r="D11" s="47">
        <f>(-Calc!$B$4-Borrowings!$J$18)/RND</f>
        <v/>
      </c>
      <c r="E11" s="47">
        <f>(-Calc!$C$4-Borrowings!$I$27)/RND</f>
        <v/>
      </c>
    </row>
    <row r="12">
      <c r="B12" s="11" t="inlineStr">
        <is>
          <t xml:space="preserve">    (b) Deferred tax liabilities (net)</t>
        </is>
      </c>
      <c r="C12" s="11" t="inlineStr">
        <is>
          <t>5</t>
        </is>
      </c>
      <c r="D12" s="47">
        <f>-Calc!$B$5/RND</f>
        <v/>
      </c>
      <c r="E12" s="47">
        <f>-Calc!$C$5/RND</f>
        <v/>
      </c>
    </row>
    <row r="13">
      <c r="B13" s="11" t="inlineStr">
        <is>
          <t xml:space="preserve">    (c) Other long-term liabilities</t>
        </is>
      </c>
      <c r="C13" s="11" t="inlineStr">
        <is>
          <t>6</t>
        </is>
      </c>
      <c r="D13" s="47">
        <f>-Calc!$B$6/RND</f>
        <v/>
      </c>
      <c r="E13" s="47">
        <f>-Calc!$C$6/RND</f>
        <v/>
      </c>
    </row>
    <row r="14">
      <c r="B14" s="11" t="inlineStr">
        <is>
          <t xml:space="preserve">    (d) Long-term provisions</t>
        </is>
      </c>
      <c r="C14" s="11" t="inlineStr">
        <is>
          <t>7</t>
        </is>
      </c>
      <c r="D14" s="47">
        <f>-Calc!$B$7/RND</f>
        <v/>
      </c>
      <c r="E14" s="47">
        <f>-Calc!$C$7/RND</f>
        <v/>
      </c>
    </row>
    <row r="15">
      <c r="B15" s="4" t="inlineStr">
        <is>
          <t>3. Current liabilities</t>
        </is>
      </c>
    </row>
    <row r="16">
      <c r="B16" s="11" t="inlineStr">
        <is>
          <t xml:space="preserve">    (a) Short-term borrowings (incl current maturities)</t>
        </is>
      </c>
      <c r="C16" s="11" t="inlineStr">
        <is>
          <t>8</t>
        </is>
      </c>
      <c r="D16" s="47">
        <f>(-Calc!$B$8+Borrowings!$J$18)/RND</f>
        <v/>
      </c>
      <c r="E16" s="47">
        <f>(-Calc!$C$8+Borrowings!$I$27)/RND</f>
        <v/>
      </c>
    </row>
    <row r="17">
      <c r="B17" s="11" t="inlineStr">
        <is>
          <t xml:space="preserve">    (b) Trade payables: (A) micro and small enterprises</t>
        </is>
      </c>
      <c r="C17" s="11" t="inlineStr">
        <is>
          <t>9</t>
        </is>
      </c>
      <c r="D17" s="47">
        <f>-Calc!$B$9/RND</f>
        <v/>
      </c>
      <c r="E17" s="47">
        <f>-Calc!$C$9/RND</f>
        <v/>
      </c>
    </row>
    <row r="18">
      <c r="B18" s="11" t="inlineStr">
        <is>
          <t xml:space="preserve">         (B) other than micro and small enterprises</t>
        </is>
      </c>
      <c r="C18" s="11" t="inlineStr">
        <is>
          <t>9</t>
        </is>
      </c>
      <c r="D18" s="47">
        <f>-Calc!$B$10/RND</f>
        <v/>
      </c>
      <c r="E18" s="47">
        <f>-Calc!$C$10/RND</f>
        <v/>
      </c>
    </row>
    <row r="19">
      <c r="B19" s="11" t="inlineStr">
        <is>
          <t xml:space="preserve">    (c) Other current liabilities</t>
        </is>
      </c>
      <c r="C19" s="11" t="inlineStr">
        <is>
          <t>10</t>
        </is>
      </c>
      <c r="D19" s="47">
        <f>-Calc!$B$11/RND</f>
        <v/>
      </c>
      <c r="E19" s="47">
        <f>-Calc!$C$11/RND</f>
        <v/>
      </c>
    </row>
    <row r="20">
      <c r="B20" s="11" t="inlineStr">
        <is>
          <t xml:space="preserve">    (d) Short-term provisions</t>
        </is>
      </c>
      <c r="C20" s="11" t="inlineStr">
        <is>
          <t>11</t>
        </is>
      </c>
      <c r="D20" s="47">
        <f>-Calc!$B$12/RND</f>
        <v/>
      </c>
      <c r="E20" s="47">
        <f>-Calc!$C$12/RND</f>
        <v/>
      </c>
    </row>
    <row r="21">
      <c r="B21" s="18" t="inlineStr">
        <is>
          <t>TOTAL</t>
        </is>
      </c>
      <c r="D21" s="49">
        <f>SUM(D8:D20)</f>
        <v/>
      </c>
      <c r="E21" s="49">
        <f>SUM(E8:E20)</f>
        <v/>
      </c>
    </row>
    <row r="22"/>
    <row r="23">
      <c r="B23" s="14" t="inlineStr">
        <is>
          <t>II. ASSETS</t>
        </is>
      </c>
    </row>
    <row r="24">
      <c r="B24" s="4" t="inlineStr">
        <is>
          <t>1. Non-current assets</t>
        </is>
      </c>
    </row>
    <row r="25">
      <c r="B25" s="11" t="inlineStr">
        <is>
          <t xml:space="preserve">    (a) Property, plant and equipment</t>
        </is>
      </c>
      <c r="C25" s="11" t="inlineStr">
        <is>
          <t>12</t>
        </is>
      </c>
      <c r="D25" s="47">
        <f>Calc!$B$13/RND</f>
        <v/>
      </c>
      <c r="E25" s="47">
        <f>Calc!$C$13/RND</f>
        <v/>
      </c>
    </row>
    <row r="26">
      <c r="B26" s="11" t="inlineStr">
        <is>
          <t xml:space="preserve">    (b) Intangible assets</t>
        </is>
      </c>
      <c r="C26" s="11" t="inlineStr">
        <is>
          <t>12</t>
        </is>
      </c>
      <c r="D26" s="47">
        <f>Calc!$B$14/RND</f>
        <v/>
      </c>
      <c r="E26" s="47">
        <f>Calc!$C$14/RND</f>
        <v/>
      </c>
    </row>
    <row r="27">
      <c r="B27" s="11" t="inlineStr">
        <is>
          <t xml:space="preserve">    (c) Capital work-in-progress</t>
        </is>
      </c>
      <c r="C27" s="11" t="inlineStr">
        <is>
          <t>12</t>
        </is>
      </c>
      <c r="D27" s="47">
        <f>Calc!$B$15/RND</f>
        <v/>
      </c>
      <c r="E27" s="47">
        <f>Calc!$C$15/RND</f>
        <v/>
      </c>
    </row>
    <row r="28">
      <c r="B28" s="11" t="inlineStr">
        <is>
          <t xml:space="preserve">    (d) Intangible assets under development</t>
        </is>
      </c>
      <c r="C28" s="11" t="inlineStr">
        <is>
          <t>12</t>
        </is>
      </c>
      <c r="D28" s="47">
        <f>Calc!$B$16/RND</f>
        <v/>
      </c>
      <c r="E28" s="47">
        <f>Calc!$C$16/RND</f>
        <v/>
      </c>
    </row>
    <row r="29">
      <c r="B29" s="11" t="inlineStr">
        <is>
          <t xml:space="preserve">    (e) Non-current investments</t>
        </is>
      </c>
      <c r="C29" s="11" t="inlineStr">
        <is>
          <t>13</t>
        </is>
      </c>
      <c r="D29" s="47">
        <f>Calc!$B$17/RND</f>
        <v/>
      </c>
      <c r="E29" s="47">
        <f>Calc!$C$17/RND</f>
        <v/>
      </c>
    </row>
    <row r="30">
      <c r="B30" s="11" t="inlineStr">
        <is>
          <t xml:space="preserve">    (f) Deferred tax assets (net)</t>
        </is>
      </c>
      <c r="C30" s="11" t="inlineStr">
        <is>
          <t>5</t>
        </is>
      </c>
      <c r="D30" s="47">
        <f>Calc!$B$18/RND</f>
        <v/>
      </c>
      <c r="E30" s="47">
        <f>Calc!$C$18/RND</f>
        <v/>
      </c>
    </row>
    <row r="31">
      <c r="B31" s="11" t="inlineStr">
        <is>
          <t xml:space="preserve">    (g) Long-term loans and advances</t>
        </is>
      </c>
      <c r="C31" s="11" t="inlineStr">
        <is>
          <t>14</t>
        </is>
      </c>
      <c r="D31" s="47">
        <f>Calc!$B$19/RND</f>
        <v/>
      </c>
      <c r="E31" s="47">
        <f>Calc!$C$19/RND</f>
        <v/>
      </c>
    </row>
    <row r="32">
      <c r="B32" s="11" t="inlineStr">
        <is>
          <t xml:space="preserve">    (h) Other non-current assets</t>
        </is>
      </c>
      <c r="C32" s="11" t="inlineStr">
        <is>
          <t>14</t>
        </is>
      </c>
      <c r="D32" s="47">
        <f>Calc!$B$20/RND</f>
        <v/>
      </c>
      <c r="E32" s="47">
        <f>Calc!$C$20/RND</f>
        <v/>
      </c>
    </row>
    <row r="33">
      <c r="B33" s="4" t="inlineStr">
        <is>
          <t>2. Current assets</t>
        </is>
      </c>
    </row>
    <row r="34">
      <c r="B34" s="11" t="inlineStr">
        <is>
          <t xml:space="preserve">    (a) Current investments</t>
        </is>
      </c>
      <c r="C34" s="11" t="inlineStr">
        <is>
          <t>13</t>
        </is>
      </c>
      <c r="D34" s="47">
        <f>Calc!$B$21/RND</f>
        <v/>
      </c>
      <c r="E34" s="47">
        <f>Calc!$C$21/RND</f>
        <v/>
      </c>
    </row>
    <row r="35">
      <c r="B35" s="11" t="inlineStr">
        <is>
          <t xml:space="preserve">    (b) Inventories</t>
        </is>
      </c>
      <c r="C35" s="11" t="inlineStr">
        <is>
          <t>15</t>
        </is>
      </c>
      <c r="D35" s="47">
        <f>Calc!$B$22/RND</f>
        <v/>
      </c>
      <c r="E35" s="47">
        <f>Calc!$C$22/RND</f>
        <v/>
      </c>
    </row>
    <row r="36">
      <c r="B36" s="11" t="inlineStr">
        <is>
          <t xml:space="preserve">    (c) Trade receivables</t>
        </is>
      </c>
      <c r="C36" s="11" t="inlineStr">
        <is>
          <t>16</t>
        </is>
      </c>
      <c r="D36" s="47">
        <f>Calc!$B$23/RND</f>
        <v/>
      </c>
      <c r="E36" s="47">
        <f>Calc!$C$23/RND</f>
        <v/>
      </c>
    </row>
    <row r="37">
      <c r="B37" s="11" t="inlineStr">
        <is>
          <t xml:space="preserve">    (d) Cash and cash equivalents</t>
        </is>
      </c>
      <c r="C37" s="11" t="inlineStr">
        <is>
          <t>17</t>
        </is>
      </c>
      <c r="D37" s="47">
        <f>Calc!$B$24/RND</f>
        <v/>
      </c>
      <c r="E37" s="47">
        <f>Calc!$C$24/RND</f>
        <v/>
      </c>
    </row>
    <row r="38">
      <c r="B38" s="11" t="inlineStr">
        <is>
          <t xml:space="preserve">    (e) Short-term loans and advances</t>
        </is>
      </c>
      <c r="C38" s="11" t="inlineStr">
        <is>
          <t>14</t>
        </is>
      </c>
      <c r="D38" s="47">
        <f>Calc!$B$25/RND</f>
        <v/>
      </c>
      <c r="E38" s="47">
        <f>Calc!$C$25/RND</f>
        <v/>
      </c>
    </row>
    <row r="39">
      <c r="B39" s="11" t="inlineStr">
        <is>
          <t xml:space="preserve">    (f) Other current assets</t>
        </is>
      </c>
      <c r="C39" s="11" t="inlineStr">
        <is>
          <t>14</t>
        </is>
      </c>
      <c r="D39" s="47">
        <f>Calc!$B$26/RND</f>
        <v/>
      </c>
      <c r="E39" s="47">
        <f>Calc!$C$26/RND</f>
        <v/>
      </c>
    </row>
    <row r="40">
      <c r="B40" s="18" t="inlineStr">
        <is>
          <t>TOTAL</t>
        </is>
      </c>
      <c r="D40" s="49">
        <f>SUM(D25:D39)</f>
        <v/>
      </c>
      <c r="E40" s="49">
        <f>SUM(E25:E39)</f>
        <v/>
      </c>
    </row>
    <row r="41"/>
    <row r="42">
      <c r="B42" s="14" t="inlineStr">
        <is>
          <t>Check: assets minus equity and liabilities (must be zero)</t>
        </is>
      </c>
      <c r="D42" s="48">
        <f>D40-D21</f>
        <v/>
      </c>
      <c r="E42" s="48">
        <f>E40-E21</f>
        <v/>
      </c>
    </row>
    <row r="43"/>
    <row r="44">
      <c r="B44" s="7" t="inlineStr">
        <is>
          <t>Significant accounting policies (Note 1) and the accompanying notes form an integral part of the financial statements.</t>
        </is>
      </c>
    </row>
    <row r="45"/>
    <row r="46">
      <c r="B46" s="11">
        <f>"Certified as per books of account"</f>
        <v/>
      </c>
    </row>
    <row r="47">
      <c r="B47" s="18">
        <f>"For "&amp;Setup!C30</f>
        <v/>
      </c>
      <c r="D47" s="11">
        <f>"For and on behalf of the board of directors of"</f>
        <v/>
      </c>
      <c r="E47" s="30" t="n"/>
    </row>
    <row r="48">
      <c r="B48" s="11">
        <f>"Chartered Accountants"</f>
        <v/>
      </c>
      <c r="D48" s="18">
        <f>Setup!C5</f>
        <v/>
      </c>
      <c r="E48" s="30" t="n"/>
    </row>
    <row r="49">
      <c r="B49" s="11">
        <f>"Firm Registration No. "&amp;Setup!C31</f>
        <v/>
      </c>
    </row>
    <row r="50"/>
    <row r="51"/>
    <row r="52">
      <c r="B52" s="18">
        <f>Setup!C32</f>
        <v/>
      </c>
      <c r="D52" s="18">
        <f>Setup!C35</f>
        <v/>
      </c>
      <c r="E52" s="18">
        <f>Setup!C37</f>
        <v/>
      </c>
    </row>
    <row r="53">
      <c r="B53" s="11">
        <f>Setup!C41</f>
        <v/>
      </c>
      <c r="D53" s="11">
        <f>Setup!C42</f>
        <v/>
      </c>
      <c r="E53" s="11">
        <f>Setup!C43</f>
        <v/>
      </c>
    </row>
    <row r="54">
      <c r="B54" s="11">
        <f>"Membership No. "&amp;Setup!C33</f>
        <v/>
      </c>
      <c r="D54" s="11">
        <f>"DIN: "&amp;Setup!C36</f>
        <v/>
      </c>
      <c r="E54" s="11">
        <f>"DIN: "&amp;Setup!C38</f>
        <v/>
      </c>
    </row>
    <row r="55">
      <c r="B55" s="11">
        <f>"UDIN: "&amp;Setup!C34</f>
        <v/>
      </c>
    </row>
    <row r="56">
      <c r="B56" s="11">
        <f>"Place: "&amp;Setup!C39</f>
        <v/>
      </c>
    </row>
    <row r="57">
      <c r="B57" s="11">
        <f>"Date: "&amp;Setup!C40</f>
        <v/>
      </c>
    </row>
  </sheetData>
  <sheetProtection selectLockedCells="0" selectUnlockedCells="0" sheet="1" objects="0" insertRows="0" insertHyperlinks="1" autoFilter="0" scenarios="0" formatColumns="0" deleteColumns="1" insertColumns="1" pivotTables="1" deleteRows="0" formatCells="1" formatRows="0" sort="0" password="BBBC"/>
  <mergeCells count="2">
    <mergeCell ref="D48:E48"/>
    <mergeCell ref="D47:E47"/>
  </mergeCells>
  <pageMargins left="0.75" right="0.75" top="1" bottom="1" header="0.5" footer="0.5"/>
  <pageSetup orientation="portrait" fitToHeight="1" fitToWidth="1"/>
</worksheet>
</file>

<file path=xl/worksheets/sheet11.xml><?xml version="1.0" encoding="utf-8"?>
<worksheet xmlns="http://schemas.openxmlformats.org/spreadsheetml/2006/main">
  <sheetPr>
    <tabColor rgb="000F2A4A"/>
    <outlinePr summaryBelow="1" summaryRight="1"/>
    <pageSetUpPr fitToPage="1"/>
  </sheetPr>
  <dimension ref="A1:E44"/>
  <sheetViews>
    <sheetView showGridLines="0" workbookViewId="0">
      <selection activeCell="A1" sqref="A1"/>
    </sheetView>
  </sheetViews>
  <sheetFormatPr baseColWidth="8" defaultRowHeight="15"/>
  <cols>
    <col width="3" customWidth="1" min="1" max="1"/>
    <col width="52" customWidth="1" min="2" max="2"/>
    <col width="8" customWidth="1" min="3" max="3"/>
    <col width="17" customWidth="1" min="4" max="4"/>
    <col width="17" customWidth="1" min="5" max="5"/>
  </cols>
  <sheetData>
    <row r="1"/>
    <row r="2">
      <c r="B2" s="3" t="inlineStr">
        <is>
          <t>Statement of Profit and Loss for the year ended</t>
        </is>
      </c>
      <c r="D2" s="18">
        <f>TEXT(BSD,"dd-mm-yyyy")</f>
        <v/>
      </c>
    </row>
    <row r="3">
      <c r="B3" s="18">
        <f>Setup!C5</f>
        <v/>
      </c>
      <c r="D3" s="13">
        <f>Setup!C27</f>
        <v/>
      </c>
    </row>
    <row r="4">
      <c r="B4" s="13">
        <f>"CIN: "&amp;Setup!C6&amp;"   |   "&amp;Setup!C7</f>
        <v/>
      </c>
    </row>
    <row r="5">
      <c r="B5" s="12" t="inlineStr">
        <is>
          <t>Particulars</t>
        </is>
      </c>
      <c r="C5" s="12" t="inlineStr">
        <is>
          <t>Note</t>
        </is>
      </c>
      <c r="D5" s="12" t="inlineStr">
        <is>
          <t>Current year</t>
        </is>
      </c>
      <c r="E5" s="12" t="inlineStr">
        <is>
          <t>Previous year</t>
        </is>
      </c>
    </row>
    <row r="6">
      <c r="B6" s="11" t="inlineStr">
        <is>
          <t>I. Revenue from operations</t>
        </is>
      </c>
      <c r="C6" s="26" t="inlineStr">
        <is>
          <t>18</t>
        </is>
      </c>
      <c r="D6" s="47">
        <f>-Calc!$B$27/RND</f>
        <v/>
      </c>
      <c r="E6" s="47">
        <f>-Calc!$C$27/RND</f>
        <v/>
      </c>
    </row>
    <row r="7">
      <c r="B7" s="11" t="inlineStr">
        <is>
          <t>II. Other income</t>
        </is>
      </c>
      <c r="C7" s="26" t="inlineStr">
        <is>
          <t>19</t>
        </is>
      </c>
      <c r="D7" s="47">
        <f>-Calc!$B$28/RND</f>
        <v/>
      </c>
      <c r="E7" s="47">
        <f>-Calc!$C$28/RND</f>
        <v/>
      </c>
    </row>
    <row r="8">
      <c r="B8" s="18" t="inlineStr">
        <is>
          <t>III. Total income (I + II)</t>
        </is>
      </c>
      <c r="D8" s="49">
        <f>D6+D7</f>
        <v/>
      </c>
      <c r="E8" s="49">
        <f>E6+E7</f>
        <v/>
      </c>
    </row>
    <row r="9">
      <c r="B9" s="4" t="inlineStr">
        <is>
          <t>IV. Expenses</t>
        </is>
      </c>
    </row>
    <row r="10">
      <c r="B10" s="11" t="inlineStr">
        <is>
          <t xml:space="preserve">    Cost of materials consumed</t>
        </is>
      </c>
      <c r="C10" s="26" t="inlineStr">
        <is>
          <t>20</t>
        </is>
      </c>
      <c r="D10" s="47">
        <f>Calc!$B$29/RND</f>
        <v/>
      </c>
      <c r="E10" s="47">
        <f>Calc!$C$29/RND</f>
        <v/>
      </c>
    </row>
    <row r="11">
      <c r="B11" s="11" t="inlineStr">
        <is>
          <t xml:space="preserve">    Purchases of stock-in-trade</t>
        </is>
      </c>
      <c r="D11" s="47">
        <f>Calc!$B$30/RND</f>
        <v/>
      </c>
      <c r="E11" s="47">
        <f>Calc!$C$30/RND</f>
        <v/>
      </c>
    </row>
    <row r="12">
      <c r="B12" s="11" t="inlineStr">
        <is>
          <t xml:space="preserve">    Changes in inventories of finished goods, WIP and stock-in-trade</t>
        </is>
      </c>
      <c r="D12" s="47">
        <f>Calc!$B$31/RND</f>
        <v/>
      </c>
      <c r="E12" s="47">
        <f>Calc!$C$31/RND</f>
        <v/>
      </c>
    </row>
    <row r="13">
      <c r="B13" s="11" t="inlineStr">
        <is>
          <t xml:space="preserve">    Employee benefits expense</t>
        </is>
      </c>
      <c r="C13" s="26" t="inlineStr">
        <is>
          <t>21</t>
        </is>
      </c>
      <c r="D13" s="47">
        <f>Calc!$B$32/RND</f>
        <v/>
      </c>
      <c r="E13" s="47">
        <f>Calc!$C$32/RND</f>
        <v/>
      </c>
    </row>
    <row r="14">
      <c r="B14" s="11" t="inlineStr">
        <is>
          <t xml:space="preserve">    Finance costs</t>
        </is>
      </c>
      <c r="C14" s="26" t="inlineStr">
        <is>
          <t>22</t>
        </is>
      </c>
      <c r="D14" s="47">
        <f>Calc!$B$33/RND</f>
        <v/>
      </c>
      <c r="E14" s="47">
        <f>Calc!$C$33/RND</f>
        <v/>
      </c>
    </row>
    <row r="15">
      <c r="B15" s="11" t="inlineStr">
        <is>
          <t xml:space="preserve">    Depreciation and amortisation expense</t>
        </is>
      </c>
      <c r="C15" s="26" t="inlineStr">
        <is>
          <t>12</t>
        </is>
      </c>
      <c r="D15" s="47">
        <f>Calc!$B$34/RND</f>
        <v/>
      </c>
      <c r="E15" s="47">
        <f>Calc!$C$34/RND</f>
        <v/>
      </c>
    </row>
    <row r="16">
      <c r="B16" s="11" t="inlineStr">
        <is>
          <t xml:space="preserve">    Other expenses</t>
        </is>
      </c>
      <c r="C16" s="26" t="inlineStr">
        <is>
          <t>23</t>
        </is>
      </c>
      <c r="D16" s="47">
        <f>Calc!$B$35/RND</f>
        <v/>
      </c>
      <c r="E16" s="47">
        <f>Calc!$C$35/RND</f>
        <v/>
      </c>
    </row>
    <row r="17">
      <c r="B17" s="18" t="inlineStr">
        <is>
          <t xml:space="preserve">    Total expenses</t>
        </is>
      </c>
      <c r="D17" s="49">
        <f>SUM(D10:D16)</f>
        <v/>
      </c>
      <c r="E17" s="49">
        <f>SUM(E10:E16)</f>
        <v/>
      </c>
    </row>
    <row r="18">
      <c r="B18" s="18" t="inlineStr">
        <is>
          <t>V. Profit before exceptional items and tax (III - IV)</t>
        </is>
      </c>
      <c r="D18" s="48">
        <f>D8-D17</f>
        <v/>
      </c>
      <c r="E18" s="48">
        <f>E8-E17</f>
        <v/>
      </c>
    </row>
    <row r="19">
      <c r="B19" s="11" t="inlineStr">
        <is>
          <t>VI. Exceptional items</t>
        </is>
      </c>
      <c r="D19" s="47">
        <f>Calc!$B$36/RND</f>
        <v/>
      </c>
      <c r="E19" s="47">
        <f>Calc!$C$36/RND</f>
        <v/>
      </c>
    </row>
    <row r="20">
      <c r="B20" s="18" t="inlineStr">
        <is>
          <t>VII. Profit before tax (V - VI)</t>
        </is>
      </c>
      <c r="D20" s="49">
        <f>D18-D19</f>
        <v/>
      </c>
      <c r="E20" s="49">
        <f>E18-E19</f>
        <v/>
      </c>
    </row>
    <row r="21">
      <c r="B21" s="4" t="inlineStr">
        <is>
          <t>VIII. Tax expense</t>
        </is>
      </c>
    </row>
    <row r="22">
      <c r="B22" s="11" t="inlineStr">
        <is>
          <t xml:space="preserve">    (1) Current tax</t>
        </is>
      </c>
      <c r="D22" s="47">
        <f>Calc!$B$37/RND</f>
        <v/>
      </c>
      <c r="E22" s="47">
        <f>Calc!$C$37/RND</f>
        <v/>
      </c>
    </row>
    <row r="23">
      <c r="B23" s="11" t="inlineStr">
        <is>
          <t xml:space="preserve">    (2) Deferred tax</t>
        </is>
      </c>
      <c r="C23" s="26" t="inlineStr">
        <is>
          <t>5</t>
        </is>
      </c>
      <c r="D23" s="47">
        <f>Calc!$B$38/RND</f>
        <v/>
      </c>
      <c r="E23" s="47">
        <f>Calc!$C$38/RND</f>
        <v/>
      </c>
    </row>
    <row r="24">
      <c r="B24" s="18" t="inlineStr">
        <is>
          <t>IX. Profit for the year (VII - VIII)</t>
        </is>
      </c>
      <c r="D24" s="49">
        <f>D20-D22-D23</f>
        <v/>
      </c>
      <c r="E24" s="49">
        <f>E20-E22-E23</f>
        <v/>
      </c>
    </row>
    <row r="25"/>
    <row r="26">
      <c r="B26" s="11" t="inlineStr">
        <is>
          <t>X. Earnings per equity share (Rs): (1) Basic</t>
        </is>
      </c>
      <c r="C26" s="26" t="inlineStr">
        <is>
          <t>24</t>
        </is>
      </c>
      <c r="D26" s="52">
        <f>EPS!$B$22</f>
        <v/>
      </c>
      <c r="E26" s="52">
        <f>EPS!$B$29</f>
        <v/>
      </c>
    </row>
    <row r="27">
      <c r="B27" s="11" t="inlineStr">
        <is>
          <t xml:space="preserve">     (2) Diluted</t>
        </is>
      </c>
      <c r="C27" s="26" t="inlineStr">
        <is>
          <t>24</t>
        </is>
      </c>
      <c r="D27" s="52">
        <f>IF(Setup!C16="Yes","Exempt - SMC",EPS!$B$27)</f>
        <v/>
      </c>
      <c r="E27" s="52">
        <f>IF(Setup!C16="Yes","Exempt - SMC",EPS!$B$30)</f>
        <v/>
      </c>
    </row>
    <row r="28"/>
    <row r="29">
      <c r="B29" s="14" t="inlineStr">
        <is>
          <t>Check: profit here vs profit added to reserves</t>
        </is>
      </c>
      <c r="D29" s="48">
        <f>D24-Calc!$B$45/RND</f>
        <v/>
      </c>
    </row>
    <row r="30"/>
    <row r="31">
      <c r="B31" s="7" t="inlineStr">
        <is>
          <t>Significant accounting policies (Note 1) and the accompanying notes form an integral part of the financial statements.</t>
        </is>
      </c>
    </row>
    <row r="32"/>
    <row r="33">
      <c r="B33" s="11">
        <f>"Certified as per books of account"</f>
        <v/>
      </c>
    </row>
    <row r="34">
      <c r="B34" s="18">
        <f>"For "&amp;Setup!C30</f>
        <v/>
      </c>
      <c r="D34" s="11">
        <f>"For and on behalf of the board of directors of"</f>
        <v/>
      </c>
      <c r="E34" s="30" t="n"/>
    </row>
    <row r="35">
      <c r="B35" s="11">
        <f>"Chartered Accountants"</f>
        <v/>
      </c>
      <c r="D35" s="18">
        <f>Setup!C5</f>
        <v/>
      </c>
      <c r="E35" s="30" t="n"/>
    </row>
    <row r="36">
      <c r="B36" s="11">
        <f>"Firm Registration No. "&amp;Setup!C31</f>
        <v/>
      </c>
    </row>
    <row r="37"/>
    <row r="38"/>
    <row r="39">
      <c r="B39" s="18">
        <f>Setup!C32</f>
        <v/>
      </c>
      <c r="D39" s="18">
        <f>Setup!C35</f>
        <v/>
      </c>
      <c r="E39" s="18">
        <f>Setup!C37</f>
        <v/>
      </c>
    </row>
    <row r="40">
      <c r="B40" s="11">
        <f>Setup!C41</f>
        <v/>
      </c>
      <c r="D40" s="11">
        <f>Setup!C42</f>
        <v/>
      </c>
      <c r="E40" s="11">
        <f>Setup!C43</f>
        <v/>
      </c>
    </row>
    <row r="41">
      <c r="B41" s="11">
        <f>"Membership No. "&amp;Setup!C33</f>
        <v/>
      </c>
      <c r="D41" s="11">
        <f>"DIN: "&amp;Setup!C36</f>
        <v/>
      </c>
      <c r="E41" s="11">
        <f>"DIN: "&amp;Setup!C38</f>
        <v/>
      </c>
    </row>
    <row r="42">
      <c r="B42" s="11">
        <f>"UDIN: "&amp;Setup!C34</f>
        <v/>
      </c>
    </row>
    <row r="43">
      <c r="B43" s="11">
        <f>"Place: "&amp;Setup!C39</f>
        <v/>
      </c>
    </row>
    <row r="44">
      <c r="B44" s="11">
        <f>"Date: "&amp;Setup!C40</f>
        <v/>
      </c>
    </row>
  </sheetData>
  <sheetProtection selectLockedCells="0" selectUnlockedCells="0" sheet="1" objects="0" insertRows="0" insertHyperlinks="1" autoFilter="0" scenarios="0" formatColumns="0" deleteColumns="1" insertColumns="1" pivotTables="1" deleteRows="0" formatCells="1" formatRows="0" sort="0" password="BBBC"/>
  <mergeCells count="2">
    <mergeCell ref="D34:E34"/>
    <mergeCell ref="D35:E35"/>
  </mergeCells>
  <pageMargins left="0.75" right="0.75" top="1" bottom="1" header="0.5" footer="0.5"/>
  <pageSetup orientation="portrait" fitToHeight="1" fitToWidth="1"/>
</worksheet>
</file>

<file path=xl/worksheets/sheet12.xml><?xml version="1.0" encoding="utf-8"?>
<worksheet xmlns="http://schemas.openxmlformats.org/spreadsheetml/2006/main">
  <sheetPr>
    <tabColor rgb="005A6672"/>
    <outlinePr summaryBelow="1" summaryRight="1"/>
    <pageSetUpPr/>
  </sheetPr>
  <dimension ref="A1:B25"/>
  <sheetViews>
    <sheetView showGridLines="0" workbookViewId="0">
      <selection activeCell="A1" sqref="A1"/>
    </sheetView>
  </sheetViews>
  <sheetFormatPr baseColWidth="8" defaultRowHeight="15"/>
  <cols>
    <col width="3" customWidth="1" min="1" max="1"/>
    <col width="110" customWidth="1" min="2" max="2"/>
  </cols>
  <sheetData>
    <row r="1"/>
    <row r="2">
      <c r="B2" s="3" t="inlineStr">
        <is>
          <t>Note 1 - Significant Accounting Policies (editable text)</t>
        </is>
      </c>
    </row>
    <row r="3">
      <c r="B3" s="7" t="inlineStr">
        <is>
          <t>Edit freely, or generate an entity-perfect set with the free CalcGuru Accounting Policies Builder (calcguru.in/accounting-policies-generator/) and paste each paragraph over these rows.</t>
        </is>
      </c>
    </row>
    <row r="4"/>
    <row r="5" ht="44" customHeight="1">
      <c r="B5" s="53" t="inlineStr">
        <is>
          <t>1.1 Basis of preparation: These financial statements are prepared on the accrual basis under the historical cost convention, in accordance with the Accounting Standards notified under the Companies (Accounting Standards) Rules, 2021, the Companies Act, 2013 and Schedule III (Division I).</t>
        </is>
      </c>
    </row>
    <row r="6"/>
    <row r="7" ht="44" customHeight="1">
      <c r="B7" s="53" t="inlineStr">
        <is>
          <t>1.2 Use of estimates: The preparation of financial statements requires the management to make estimates and assumptions that affect the reported amounts; actual results could differ, and revisions are recognised prospectively.</t>
        </is>
      </c>
    </row>
    <row r="8"/>
    <row r="9" ht="44" customHeight="1">
      <c r="B9" s="53" t="inlineStr">
        <is>
          <t>1.3 Property, plant and equipment and depreciation: PPE are stated at cost less accumulated depreciation and impairment. Depreciation is provided on the written down value method over the useful lives prescribed in Schedule II to the Companies Act, 2013.</t>
        </is>
      </c>
    </row>
    <row r="10"/>
    <row r="11" ht="44" customHeight="1">
      <c r="B11" s="53" t="inlineStr">
        <is>
          <t>1.4 Inventories: Valued at the lower of cost (FIFO) and net realisable value; finished goods and WIP include an appropriate share of production overheads.</t>
        </is>
      </c>
    </row>
    <row r="12"/>
    <row r="13" ht="44" customHeight="1">
      <c r="B13" s="53" t="inlineStr">
        <is>
          <t>1.5 Revenue recognition: Revenue from sale of goods is recognised when significant risks and rewards pass to the buyer, net of returns, discounts and GST; service revenue by stage of completion; interest on a time-proportion basis.</t>
        </is>
      </c>
    </row>
    <row r="14"/>
    <row r="15" ht="44" customHeight="1">
      <c r="B15" s="53" t="inlineStr">
        <is>
          <t>1.6 Employee benefits: Short-term benefits are expensed as the service is rendered; contributions to defined contribution schemes are charged as incurred; gratuity is provided as per company policy.</t>
        </is>
      </c>
    </row>
    <row r="16"/>
    <row r="17" ht="44" customHeight="1">
      <c r="B17" s="53" t="inlineStr">
        <is>
          <t>1.7 Borrowing costs: Costs attributable to qualifying assets are capitalised to the date of readiness; all other borrowing costs are expensed.</t>
        </is>
      </c>
    </row>
    <row r="18"/>
    <row r="19" ht="44" customHeight="1">
      <c r="B19" s="53" t="inlineStr">
        <is>
          <t>1.8 Taxes on income: Current tax per the income-tax law in force; deferred tax on timing differences at enacted or substantively enacted rates; deferred tax assets recognised only where realisation is reasonably or virtually certain.</t>
        </is>
      </c>
    </row>
    <row r="20"/>
    <row r="21" ht="44" customHeight="1">
      <c r="B21" s="53" t="inlineStr">
        <is>
          <t>1.9 Provisions and contingencies: Provisions are recognised for present obligations with probable outflow and reliable estimates; contingent liabilities are disclosed and not provided; contingent assets are not recognised.</t>
        </is>
      </c>
    </row>
    <row r="22"/>
    <row r="23" ht="44" customHeight="1">
      <c r="B23" s="53" t="inlineStr">
        <is>
          <t>1.10 Earnings per share: Basic EPS uses the weighted average number of equity shares; diluted EPS additionally adjusts for dilutive potential equity shares.</t>
        </is>
      </c>
    </row>
    <row r="24"/>
    <row r="25" ht="44" customHeight="1">
      <c r="B25" s="53" t="inlineStr">
        <is>
          <t>(Add or delete policies to match the entity - impairment, foreign currency, investments, MSME dues, cash flow method.)</t>
        </is>
      </c>
    </row>
  </sheetData>
  <sheetProtection selectLockedCells="0" selectUnlockedCells="0" sheet="1" objects="0" insertRows="0" insertHyperlinks="1" autoFilter="0" scenarios="0" formatColumns="0" deleteColumns="1" insertColumns="1" pivotTables="1" deleteRows="0" formatCells="1" formatRows="0" sort="0" password="BBBC"/>
  <pageMargins left="0.75" right="0.75" top="1" bottom="1" header="0.5" footer="0.5"/>
</worksheet>
</file>

<file path=xl/worksheets/sheet13.xml><?xml version="1.0" encoding="utf-8"?>
<worksheet xmlns="http://schemas.openxmlformats.org/spreadsheetml/2006/main">
  <sheetPr>
    <tabColor rgb="001E3A8A"/>
    <outlinePr summaryBelow="1" summaryRight="1"/>
    <pageSetUpPr fitToPage="1"/>
  </sheetPr>
  <dimension ref="A1:G43"/>
  <sheetViews>
    <sheetView showGridLines="0" workbookViewId="0">
      <selection activeCell="A1" sqref="A1"/>
    </sheetView>
  </sheetViews>
  <sheetFormatPr baseColWidth="8" defaultRowHeight="15"/>
  <cols>
    <col width="3" customWidth="1" min="1" max="1"/>
    <col width="44" customWidth="1" min="2" max="2"/>
    <col width="14" customWidth="1" min="3" max="3"/>
    <col width="12" customWidth="1" min="4" max="4"/>
    <col width="14" customWidth="1" min="5" max="5"/>
    <col width="12" customWidth="1" min="6" max="6"/>
    <col width="14" customWidth="1" min="7" max="7"/>
  </cols>
  <sheetData>
    <row r="1"/>
    <row r="2">
      <c r="B2" s="3" t="inlineStr">
        <is>
          <t>Note 2 - Share capital and shareholding</t>
        </is>
      </c>
    </row>
    <row r="3">
      <c r="B3" s="18">
        <f>Setup!C5</f>
        <v/>
      </c>
    </row>
    <row r="4">
      <c r="B4" s="7" t="inlineStr">
        <is>
          <t>Share counts and percentages compute from the Setup share numbers; fill names and share counts in yellow. Amounts in rupees.</t>
        </is>
      </c>
    </row>
    <row r="5"/>
    <row r="6">
      <c r="B6" s="5" t="inlineStr">
        <is>
          <t>(a) Authorised capital</t>
        </is>
      </c>
    </row>
    <row r="7">
      <c r="B7" s="11">
        <f>TEXT(Setup!C21,"#,##0")&amp;" equity shares of Rs "&amp;TEXT(Setup!C20,"0")&amp;" each"</f>
        <v/>
      </c>
      <c r="C7" s="45">
        <f>Setup!C21*Setup!C20</f>
        <v/>
      </c>
    </row>
    <row r="8"/>
    <row r="9">
      <c r="B9" s="5" t="inlineStr">
        <is>
          <t>(b) Issued, subscribed and fully paid up</t>
        </is>
      </c>
    </row>
    <row r="10">
      <c r="B10" s="12" t="inlineStr">
        <is>
          <t>Particulars</t>
        </is>
      </c>
      <c r="C10" s="12" t="inlineStr">
        <is>
          <t>Current year</t>
        </is>
      </c>
      <c r="D10" s="12" t="inlineStr">
        <is>
          <t>Previous year</t>
        </is>
      </c>
    </row>
    <row r="11">
      <c r="B11" s="11">
        <f>TEXT(Setup!C22,"#,##0")&amp;" equity shares of Rs "&amp;TEXT(Setup!C20,"0")&amp;" each, fully paid"</f>
        <v/>
      </c>
      <c r="C11" s="45">
        <f>Setup!C22*Setup!C20</f>
        <v/>
      </c>
      <c r="D11" s="45">
        <f>Setup!C23*Setup!C20</f>
        <v/>
      </c>
    </row>
    <row r="12">
      <c r="B12" s="4" t="inlineStr">
        <is>
          <t>Tie vs TB code SC (0 expected)</t>
        </is>
      </c>
      <c r="C12" s="43">
        <f>Setup!C22*Setup!C20-(-Calc!$B$2)</f>
        <v/>
      </c>
    </row>
    <row r="13"/>
    <row r="14">
      <c r="B14" s="5" t="inlineStr">
        <is>
          <t>(c) Reconciliation of the number of equity shares outstanding</t>
        </is>
      </c>
    </row>
    <row r="15">
      <c r="B15" s="12" t="inlineStr">
        <is>
          <t>Particulars</t>
        </is>
      </c>
      <c r="C15" s="12" t="inlineStr">
        <is>
          <t>CY - No. of shares</t>
        </is>
      </c>
      <c r="D15" s="12" t="inlineStr">
        <is>
          <t>PY - No. of shares</t>
        </is>
      </c>
    </row>
    <row r="16">
      <c r="B16" s="4" t="inlineStr">
        <is>
          <t>Shares outstanding at the beginning of the year</t>
        </is>
      </c>
      <c r="C16" s="43">
        <f>Setup!C23</f>
        <v/>
      </c>
      <c r="D16" s="42" t="n"/>
    </row>
    <row r="17">
      <c r="B17" s="4" t="inlineStr">
        <is>
          <t>Add: shares issued during the year</t>
        </is>
      </c>
      <c r="C17" s="42" t="n">
        <v>0</v>
      </c>
      <c r="D17" s="42" t="n">
        <v>0</v>
      </c>
    </row>
    <row r="18">
      <c r="B18" s="4" t="inlineStr">
        <is>
          <t>Less: shares bought back during the year</t>
        </is>
      </c>
      <c r="C18" s="42" t="n">
        <v>0</v>
      </c>
      <c r="D18" s="42" t="n">
        <v>0</v>
      </c>
    </row>
    <row r="19">
      <c r="B19" s="14" t="inlineStr">
        <is>
          <t>Shares outstanding at the end of the year</t>
        </is>
      </c>
      <c r="C19" s="44">
        <f>C16+C17-C18</f>
        <v/>
      </c>
      <c r="D19" s="44">
        <f>IF(D16="",Setup!C23,D16+D17-D18)</f>
        <v/>
      </c>
    </row>
    <row r="20">
      <c r="B20" s="4" t="inlineStr">
        <is>
          <t>Check vs Setup CY shares (0 expected)</t>
        </is>
      </c>
      <c r="C20" s="43">
        <f>C19-Setup!C22</f>
        <v/>
      </c>
    </row>
    <row r="21"/>
    <row r="22">
      <c r="B22" s="5" t="inlineStr">
        <is>
          <t>(d) Terms and rights attached to equity shares</t>
        </is>
      </c>
    </row>
    <row r="23" ht="44" customHeight="1">
      <c r="B23" s="53" t="inlineStr">
        <is>
          <t>The company has a single class of equity shares. Each holder is entitled to one vote per share. In the event of liquidation, holders of equity shares are entitled to the assets of the company remaining after distribution of all preferential amounts, in proportion to their holding.</t>
        </is>
      </c>
      <c r="C23" s="29" t="n"/>
      <c r="D23" s="29" t="n"/>
      <c r="E23" s="29" t="n"/>
      <c r="F23" s="29" t="n"/>
      <c r="G23" s="30" t="n"/>
    </row>
    <row r="24"/>
    <row r="25">
      <c r="B25" s="5" t="inlineStr">
        <is>
          <t>(e) Shareholders holding more than 5% of the equity shares</t>
        </is>
      </c>
    </row>
    <row r="26">
      <c r="B26" s="12" t="inlineStr">
        <is>
          <t>Name of the shareholder</t>
        </is>
      </c>
      <c r="C26" s="12" t="inlineStr">
        <is>
          <t>CY - No. of shares</t>
        </is>
      </c>
      <c r="D26" s="12" t="inlineStr">
        <is>
          <t>CY - % holding</t>
        </is>
      </c>
      <c r="E26" s="12" t="inlineStr">
        <is>
          <t>PY - No. of shares</t>
        </is>
      </c>
      <c r="F26" s="12" t="inlineStr">
        <is>
          <t>PY - % holding</t>
        </is>
      </c>
    </row>
    <row r="27">
      <c r="B27" s="40" t="n"/>
      <c r="C27" s="42" t="n"/>
      <c r="D27" s="54">
        <f>IF(OR(C27="",Setup!C22=0),"",C27/Setup!C22)</f>
        <v/>
      </c>
      <c r="E27" s="42" t="n"/>
      <c r="F27" s="54">
        <f>IF(OR(E27="",Setup!C23=0),"",E27/Setup!C23)</f>
        <v/>
      </c>
    </row>
    <row r="28">
      <c r="B28" s="40" t="n"/>
      <c r="C28" s="42" t="n"/>
      <c r="D28" s="54">
        <f>IF(OR(C28="",Setup!C22=0),"",C28/Setup!C22)</f>
        <v/>
      </c>
      <c r="E28" s="42" t="n"/>
      <c r="F28" s="54">
        <f>IF(OR(E28="",Setup!C23=0),"",E28/Setup!C23)</f>
        <v/>
      </c>
    </row>
    <row r="29">
      <c r="B29" s="40" t="n"/>
      <c r="C29" s="42" t="n"/>
      <c r="D29" s="54">
        <f>IF(OR(C29="",Setup!C22=0),"",C29/Setup!C22)</f>
        <v/>
      </c>
      <c r="E29" s="42" t="n"/>
      <c r="F29" s="54">
        <f>IF(OR(E29="",Setup!C23=0),"",E29/Setup!C23)</f>
        <v/>
      </c>
    </row>
    <row r="30">
      <c r="B30" s="40" t="n"/>
      <c r="C30" s="42" t="n"/>
      <c r="D30" s="54">
        <f>IF(OR(C30="",Setup!C22=0),"",C30/Setup!C22)</f>
        <v/>
      </c>
      <c r="E30" s="42" t="n"/>
      <c r="F30" s="54">
        <f>IF(OR(E30="",Setup!C23=0),"",E30/Setup!C23)</f>
        <v/>
      </c>
    </row>
    <row r="31">
      <c r="B31" s="40" t="n"/>
      <c r="C31" s="42" t="n"/>
      <c r="D31" s="54">
        <f>IF(OR(C31="",Setup!C22=0),"",C31/Setup!C22)</f>
        <v/>
      </c>
      <c r="E31" s="42" t="n"/>
      <c r="F31" s="54">
        <f>IF(OR(E31="",Setup!C23=0),"",E31/Setup!C23)</f>
        <v/>
      </c>
    </row>
    <row r="32">
      <c r="B32" s="40" t="n"/>
      <c r="C32" s="42" t="n"/>
      <c r="D32" s="54">
        <f>IF(OR(C32="",Setup!C22=0),"",C32/Setup!C22)</f>
        <v/>
      </c>
      <c r="E32" s="42" t="n"/>
      <c r="F32" s="54">
        <f>IF(OR(E32="",Setup!C23=0),"",E32/Setup!C23)</f>
        <v/>
      </c>
    </row>
    <row r="33">
      <c r="B33" s="14" t="inlineStr">
        <is>
          <t>Total</t>
        </is>
      </c>
      <c r="C33" s="44">
        <f>SUM(C27:C32)</f>
        <v/>
      </c>
      <c r="D33" s="55">
        <f>IF(Setup!C22=0,"",C33/Setup!C22)</f>
        <v/>
      </c>
      <c r="E33" s="44">
        <f>SUM(E27:E32)</f>
        <v/>
      </c>
      <c r="F33" s="55">
        <f>IF(Setup!C23=0,"",E33/Setup!C23)</f>
        <v/>
      </c>
    </row>
    <row r="34"/>
    <row r="35">
      <c r="B35" s="5" t="inlineStr">
        <is>
          <t>(f) Promoters shareholding</t>
        </is>
      </c>
    </row>
    <row r="36">
      <c r="B36" s="12" t="inlineStr">
        <is>
          <t>Name of the promoter</t>
        </is>
      </c>
      <c r="C36" s="12" t="inlineStr">
        <is>
          <t>CY - No. of shares</t>
        </is>
      </c>
      <c r="D36" s="12" t="inlineStr">
        <is>
          <t>CY - % holding</t>
        </is>
      </c>
      <c r="E36" s="12" t="inlineStr">
        <is>
          <t>PY - No. of shares</t>
        </is>
      </c>
      <c r="F36" s="12" t="inlineStr">
        <is>
          <t>PY - % holding</t>
        </is>
      </c>
      <c r="G36" s="12" t="inlineStr">
        <is>
          <t>% change during the year</t>
        </is>
      </c>
    </row>
    <row r="37">
      <c r="B37" s="40" t="n"/>
      <c r="C37" s="42" t="n"/>
      <c r="D37" s="54">
        <f>IF(OR(C37="",Setup!C22=0),"",C37/Setup!C22)</f>
        <v/>
      </c>
      <c r="E37" s="42" t="n"/>
      <c r="F37" s="54">
        <f>IF(OR(E37="",Setup!C23=0),"",E37/Setup!C23)</f>
        <v/>
      </c>
      <c r="G37" s="54">
        <f>IF(OR(D37="",F37=""),"",D37-F37)</f>
        <v/>
      </c>
    </row>
    <row r="38">
      <c r="B38" s="40" t="n"/>
      <c r="C38" s="42" t="n"/>
      <c r="D38" s="54">
        <f>IF(OR(C38="",Setup!C22=0),"",C38/Setup!C22)</f>
        <v/>
      </c>
      <c r="E38" s="42" t="n"/>
      <c r="F38" s="54">
        <f>IF(OR(E38="",Setup!C23=0),"",E38/Setup!C23)</f>
        <v/>
      </c>
      <c r="G38" s="54">
        <f>IF(OR(D38="",F38=""),"",D38-F38)</f>
        <v/>
      </c>
    </row>
    <row r="39">
      <c r="B39" s="40" t="n"/>
      <c r="C39" s="42" t="n"/>
      <c r="D39" s="54">
        <f>IF(OR(C39="",Setup!C22=0),"",C39/Setup!C22)</f>
        <v/>
      </c>
      <c r="E39" s="42" t="n"/>
      <c r="F39" s="54">
        <f>IF(OR(E39="",Setup!C23=0),"",E39/Setup!C23)</f>
        <v/>
      </c>
      <c r="G39" s="54">
        <f>IF(OR(D39="",F39=""),"",D39-F39)</f>
        <v/>
      </c>
    </row>
    <row r="40">
      <c r="B40" s="40" t="n"/>
      <c r="C40" s="42" t="n"/>
      <c r="D40" s="54">
        <f>IF(OR(C40="",Setup!C22=0),"",C40/Setup!C22)</f>
        <v/>
      </c>
      <c r="E40" s="42" t="n"/>
      <c r="F40" s="54">
        <f>IF(OR(E40="",Setup!C23=0),"",E40/Setup!C23)</f>
        <v/>
      </c>
      <c r="G40" s="54">
        <f>IF(OR(D40="",F40=""),"",D40-F40)</f>
        <v/>
      </c>
    </row>
    <row r="41">
      <c r="B41" s="40" t="n"/>
      <c r="C41" s="42" t="n"/>
      <c r="D41" s="54">
        <f>IF(OR(C41="",Setup!C22=0),"",C41/Setup!C22)</f>
        <v/>
      </c>
      <c r="E41" s="42" t="n"/>
      <c r="F41" s="54">
        <f>IF(OR(E41="",Setup!C23=0),"",E41/Setup!C23)</f>
        <v/>
      </c>
      <c r="G41" s="54">
        <f>IF(OR(D41="",F41=""),"",D41-F41)</f>
        <v/>
      </c>
    </row>
    <row r="42">
      <c r="B42" s="40" t="n"/>
      <c r="C42" s="42" t="n"/>
      <c r="D42" s="54">
        <f>IF(OR(C42="",Setup!C22=0),"",C42/Setup!C22)</f>
        <v/>
      </c>
      <c r="E42" s="42" t="n"/>
      <c r="F42" s="54">
        <f>IF(OR(E42="",Setup!C23=0),"",E42/Setup!C23)</f>
        <v/>
      </c>
      <c r="G42" s="54">
        <f>IF(OR(D42="",F42=""),"",D42-F42)</f>
        <v/>
      </c>
    </row>
    <row r="43">
      <c r="B43" s="14" t="inlineStr">
        <is>
          <t>Total</t>
        </is>
      </c>
      <c r="C43" s="44">
        <f>SUM(C37:C42)</f>
        <v/>
      </c>
      <c r="D43" s="55">
        <f>IF(Setup!C22=0,"",C43/Setup!C22)</f>
        <v/>
      </c>
      <c r="E43" s="44">
        <f>SUM(E37:E42)</f>
        <v/>
      </c>
      <c r="F43" s="55">
        <f>IF(Setup!C23=0,"",E43/Setup!C23)</f>
        <v/>
      </c>
    </row>
  </sheetData>
  <sheetProtection selectLockedCells="0" selectUnlockedCells="0" sheet="1" objects="0" insertRows="0" insertHyperlinks="1" autoFilter="0" scenarios="0" formatColumns="0" deleteColumns="1" insertColumns="1" pivotTables="1" deleteRows="0" formatCells="1" formatRows="0" sort="0" password="BBBC"/>
  <mergeCells count="1">
    <mergeCell ref="B23:G23"/>
  </mergeCells>
  <pageMargins left="0.75" right="0.75" top="1" bottom="1" header="0.5" footer="0.5"/>
  <pageSetup orientation="portrait" fitToHeight="1" fitToWidth="1"/>
</worksheet>
</file>

<file path=xl/worksheets/sheet14.xml><?xml version="1.0" encoding="utf-8"?>
<worksheet xmlns="http://schemas.openxmlformats.org/spreadsheetml/2006/main">
  <sheetPr>
    <tabColor rgb="005A6672"/>
    <outlinePr summaryBelow="1" summaryRight="1"/>
    <pageSetUpPr/>
  </sheetPr>
  <dimension ref="A1:E180"/>
  <sheetViews>
    <sheetView showGridLines="0" workbookViewId="0">
      <selection activeCell="A1" sqref="A1"/>
    </sheetView>
  </sheetViews>
  <sheetFormatPr baseColWidth="8" defaultRowHeight="15"/>
  <cols>
    <col width="3" customWidth="1" min="1" max="1"/>
    <col width="54" customWidth="1" min="2" max="2"/>
    <col width="16" customWidth="1" min="3" max="3"/>
    <col width="16" customWidth="1" min="4" max="4"/>
    <col width="44" customWidth="1" min="5" max="5"/>
  </cols>
  <sheetData>
    <row r="1"/>
    <row r="2">
      <c r="B2" s="3" t="inlineStr">
        <is>
          <t>Notes to the Balance Sheet (amounts in rounding units)</t>
        </is>
      </c>
    </row>
    <row r="3">
      <c r="B3" s="7" t="inlineStr">
        <is>
          <t>Every breakup below lists the TB ledgers you tagged to the relevant map code, line by line - tag each ledger separately in the TB and the note builds itself. Yellow cells are extra inputs.</t>
        </is>
      </c>
    </row>
    <row r="4"/>
    <row r="5">
      <c r="B5" s="5" t="inlineStr">
        <is>
          <t>Note 2 - Share capital</t>
        </is>
      </c>
    </row>
    <row r="6">
      <c r="B6" s="7" t="inlineStr">
        <is>
          <t>Full note on the Shareholding sheet: authorised and paid-up capital, share reconciliation, terms and rights, shareholders above 5% and promoter holding with % change.</t>
        </is>
      </c>
    </row>
    <row r="7">
      <c r="B7" s="4" t="inlineStr">
        <is>
          <t>Tie vs TB code SC (0 expected)</t>
        </is>
      </c>
      <c r="C7" s="47">
        <f>Setup!C22*Setup!C20/RND-(-Calc!$B$2/RND)</f>
        <v/>
      </c>
    </row>
    <row r="8"/>
    <row r="9">
      <c r="B9" s="5" t="inlineStr">
        <is>
          <t>Note 3 - Reserves and surplus</t>
        </is>
      </c>
    </row>
    <row r="10">
      <c r="B10" s="4" t="inlineStr">
        <is>
          <t>Opening balance (TB code RS)</t>
        </is>
      </c>
      <c r="C10" s="47">
        <f>-Calc!$B$3/RND</f>
        <v/>
      </c>
      <c r="D10" s="47">
        <f>-Calc!$C$3/RND</f>
        <v/>
      </c>
    </row>
    <row r="11">
      <c r="B11" s="4" t="inlineStr">
        <is>
          <t>Add: profit for the year</t>
        </is>
      </c>
      <c r="C11" s="47">
        <f>Calc!$B$45/RND</f>
        <v/>
      </c>
      <c r="D11" s="47">
        <f>Calc!$C$46/RND</f>
        <v/>
      </c>
    </row>
    <row r="12">
      <c r="B12" s="4" t="inlineStr">
        <is>
          <t>Less: dividends / transfers during the year</t>
        </is>
      </c>
      <c r="C12" s="56" t="n">
        <v>0</v>
      </c>
      <c r="D12" s="56" t="n">
        <v>0</v>
      </c>
    </row>
    <row r="13">
      <c r="B13" s="14" t="inlineStr">
        <is>
          <t>Closing balance</t>
        </is>
      </c>
      <c r="C13" s="49">
        <f>C10+C11-C12</f>
        <v/>
      </c>
      <c r="D13" s="49">
        <f>D10+D11-D12</f>
        <v/>
      </c>
    </row>
    <row r="14"/>
    <row r="15">
      <c r="B15" s="5" t="inlineStr">
        <is>
          <t>Note 4 - Long-term borrowings</t>
        </is>
      </c>
    </row>
    <row r="16">
      <c r="B16" s="7" t="inlineStr">
        <is>
          <t>Loan-wise security, terms and the current-maturities split build on the Borrowings sheet.</t>
        </is>
      </c>
    </row>
    <row r="17">
      <c r="B17" s="4" t="inlineStr">
        <is>
          <t>Non-current portion</t>
        </is>
      </c>
      <c r="C17" s="47">
        <f>(-Calc!$B$4-Borrowings!$J$18)/RND</f>
        <v/>
      </c>
      <c r="D17" s="47">
        <f>(-Calc!$C$4-Borrowings!$I$27)/RND</f>
        <v/>
      </c>
    </row>
    <row r="18">
      <c r="B18" s="4" t="inlineStr">
        <is>
          <t>Current maturities (disclosed under Note 8)</t>
        </is>
      </c>
      <c r="C18" s="47">
        <f>Borrowings!$J$18/RND</f>
        <v/>
      </c>
      <c r="D18" s="47">
        <f>Borrowings!$I$27/RND</f>
        <v/>
      </c>
    </row>
    <row r="19"/>
    <row r="20">
      <c r="B20" s="5" t="inlineStr">
        <is>
          <t>Note 5 - Deferred tax (AS 22 timing differences)</t>
        </is>
      </c>
    </row>
    <row r="21">
      <c r="B21" s="4" t="inlineStr">
        <is>
          <t>Tax rate %</t>
        </is>
      </c>
      <c r="C21" s="46" t="n">
        <v>25.17</v>
      </c>
    </row>
    <row r="22">
      <c r="B22" s="40" t="inlineStr">
        <is>
          <t>Depreciation (books vs tax)</t>
        </is>
      </c>
      <c r="C22" s="42" t="n">
        <v>0</v>
      </c>
      <c r="D22" s="47">
        <f>C22*$C$21/100/RND</f>
        <v/>
      </c>
    </row>
    <row r="23">
      <c r="B23" s="40" t="inlineStr">
        <is>
          <t>43B items allowed on payment</t>
        </is>
      </c>
      <c r="C23" s="42" t="n">
        <v>0</v>
      </c>
      <c r="D23" s="47">
        <f>C23*$C$21/100/RND</f>
        <v/>
      </c>
    </row>
    <row r="24">
      <c r="B24" s="40" t="inlineStr">
        <is>
          <t>Provision for doubtful debts</t>
        </is>
      </c>
      <c r="C24" s="42" t="n">
        <v>0</v>
      </c>
      <c r="D24" s="47">
        <f>C24*$C$21/100/RND</f>
        <v/>
      </c>
    </row>
    <row r="25">
      <c r="B25" s="40" t="inlineStr">
        <is>
          <t>Others</t>
        </is>
      </c>
      <c r="C25" s="42" t="n">
        <v>0</v>
      </c>
      <c r="D25" s="47">
        <f>C25*$C$21/100/RND</f>
        <v/>
      </c>
    </row>
    <row r="26">
      <c r="B26" s="14" t="inlineStr">
        <is>
          <t>Net DTL/(DTA) suggested</t>
        </is>
      </c>
      <c r="D26" s="49">
        <f>SUM(D22:D25)</f>
        <v/>
      </c>
    </row>
    <row r="27">
      <c r="B27" s="4" t="inlineStr">
        <is>
          <t>Recognised per TB (DTL - DTA)</t>
        </is>
      </c>
      <c r="D27" s="47">
        <f>(-Calc!$B$5-Calc!$B$18)/RND</f>
        <v/>
      </c>
    </row>
    <row r="28"/>
    <row r="29">
      <c r="B29" s="5" t="inlineStr">
        <is>
          <t>Note 6 - Other long-term liabilities</t>
        </is>
      </c>
    </row>
    <row r="30">
      <c r="B30" s="12" t="inlineStr">
        <is>
          <t>Particulars (auto from TB tagging)</t>
        </is>
      </c>
      <c r="C30" s="12" t="inlineStr">
        <is>
          <t>Current year</t>
        </is>
      </c>
      <c r="D30" s="12" t="inlineStr">
        <is>
          <t>Previous year</t>
        </is>
      </c>
    </row>
    <row r="31">
      <c r="B31" s="11">
        <f>IFERROR(INDEX(TB!$A$6:$A$225,MATCH("OLTL#"&amp;1,TB!$H$6:$H$225,0)),"")</f>
        <v/>
      </c>
      <c r="C31" s="47">
        <f>IF(B31="","",-1*(INDEX(TB!$B$6:$B$225,MATCH("OLTL#"&amp;1,TB!$H$6:$H$225,0))-INDEX(TB!$C$6:$C$225,MATCH("OLTL#"&amp;1,TB!$H$6:$H$225,0)))/RND)</f>
        <v/>
      </c>
      <c r="D31" s="47">
        <f>IF(B31="","",-1*(INDEX(TB!$D$6:$D$225,MATCH("OLTL#"&amp;1,TB!$H$6:$H$225,0))-INDEX(TB!$E$6:$E$225,MATCH("OLTL#"&amp;1,TB!$H$6:$H$225,0)))/RND)</f>
        <v/>
      </c>
    </row>
    <row r="32">
      <c r="B32" s="11">
        <f>IFERROR(INDEX(TB!$A$6:$A$225,MATCH("OLTL#"&amp;2,TB!$H$6:$H$225,0)),"")</f>
        <v/>
      </c>
      <c r="C32" s="47">
        <f>IF(B32="","",-1*(INDEX(TB!$B$6:$B$225,MATCH("OLTL#"&amp;2,TB!$H$6:$H$225,0))-INDEX(TB!$C$6:$C$225,MATCH("OLTL#"&amp;2,TB!$H$6:$H$225,0)))/RND)</f>
        <v/>
      </c>
      <c r="D32" s="47">
        <f>IF(B32="","",-1*(INDEX(TB!$D$6:$D$225,MATCH("OLTL#"&amp;2,TB!$H$6:$H$225,0))-INDEX(TB!$E$6:$E$225,MATCH("OLTL#"&amp;2,TB!$H$6:$H$225,0)))/RND)</f>
        <v/>
      </c>
    </row>
    <row r="33">
      <c r="B33" s="11">
        <f>IFERROR(INDEX(TB!$A$6:$A$225,MATCH("OLTL#"&amp;3,TB!$H$6:$H$225,0)),"")</f>
        <v/>
      </c>
      <c r="C33" s="47">
        <f>IF(B33="","",-1*(INDEX(TB!$B$6:$B$225,MATCH("OLTL#"&amp;3,TB!$H$6:$H$225,0))-INDEX(TB!$C$6:$C$225,MATCH("OLTL#"&amp;3,TB!$H$6:$H$225,0)))/RND)</f>
        <v/>
      </c>
      <c r="D33" s="47">
        <f>IF(B33="","",-1*(INDEX(TB!$D$6:$D$225,MATCH("OLTL#"&amp;3,TB!$H$6:$H$225,0))-INDEX(TB!$E$6:$E$225,MATCH("OLTL#"&amp;3,TB!$H$6:$H$225,0)))/RND)</f>
        <v/>
      </c>
    </row>
    <row r="34">
      <c r="B34" s="11">
        <f>IFERROR(INDEX(TB!$A$6:$A$225,MATCH("OLTL#"&amp;4,TB!$H$6:$H$225,0)),"")</f>
        <v/>
      </c>
      <c r="C34" s="47">
        <f>IF(B34="","",-1*(INDEX(TB!$B$6:$B$225,MATCH("OLTL#"&amp;4,TB!$H$6:$H$225,0))-INDEX(TB!$C$6:$C$225,MATCH("OLTL#"&amp;4,TB!$H$6:$H$225,0)))/RND)</f>
        <v/>
      </c>
      <c r="D34" s="47">
        <f>IF(B34="","",-1*(INDEX(TB!$D$6:$D$225,MATCH("OLTL#"&amp;4,TB!$H$6:$H$225,0))-INDEX(TB!$E$6:$E$225,MATCH("OLTL#"&amp;4,TB!$H$6:$H$225,0)))/RND)</f>
        <v/>
      </c>
    </row>
    <row r="35">
      <c r="B35" s="11">
        <f>IFERROR(INDEX(TB!$A$6:$A$225,MATCH("OLTL#"&amp;5,TB!$H$6:$H$225,0)),"")</f>
        <v/>
      </c>
      <c r="C35" s="47">
        <f>IF(B35="","",-1*(INDEX(TB!$B$6:$B$225,MATCH("OLTL#"&amp;5,TB!$H$6:$H$225,0))-INDEX(TB!$C$6:$C$225,MATCH("OLTL#"&amp;5,TB!$H$6:$H$225,0)))/RND)</f>
        <v/>
      </c>
      <c r="D35" s="47">
        <f>IF(B35="","",-1*(INDEX(TB!$D$6:$D$225,MATCH("OLTL#"&amp;5,TB!$H$6:$H$225,0))-INDEX(TB!$E$6:$E$225,MATCH("OLTL#"&amp;5,TB!$H$6:$H$225,0)))/RND)</f>
        <v/>
      </c>
    </row>
    <row r="36">
      <c r="B36" s="7" t="inlineStr">
        <is>
          <t>Further ledgers tagged OLTL beyond 5 lines (combined)</t>
        </is>
      </c>
      <c r="C36" s="47">
        <f>-1*Calc!$B$6/RND-SUM(C31:C35)</f>
        <v/>
      </c>
      <c r="D36" s="47">
        <f>-1*Calc!$C$6/RND-SUM(D31:D35)</f>
        <v/>
      </c>
    </row>
    <row r="37">
      <c r="B37" s="14" t="inlineStr">
        <is>
          <t>Total</t>
        </is>
      </c>
      <c r="C37" s="49">
        <f>-1*Calc!$B$6/RND</f>
        <v/>
      </c>
      <c r="D37" s="49">
        <f>-1*Calc!$C$6/RND</f>
        <v/>
      </c>
    </row>
    <row r="38"/>
    <row r="39">
      <c r="B39" s="5" t="inlineStr">
        <is>
          <t>Note 7 - Long-term provisions</t>
        </is>
      </c>
    </row>
    <row r="40">
      <c r="B40" s="12" t="inlineStr">
        <is>
          <t>Particulars (auto from TB tagging)</t>
        </is>
      </c>
      <c r="C40" s="12" t="inlineStr">
        <is>
          <t>Current year</t>
        </is>
      </c>
      <c r="D40" s="12" t="inlineStr">
        <is>
          <t>Previous year</t>
        </is>
      </c>
    </row>
    <row r="41">
      <c r="B41" s="11">
        <f>IFERROR(INDEX(TB!$A$6:$A$225,MATCH("LTPROV#"&amp;1,TB!$H$6:$H$225,0)),"")</f>
        <v/>
      </c>
      <c r="C41" s="47">
        <f>IF(B41="","",-1*(INDEX(TB!$B$6:$B$225,MATCH("LTPROV#"&amp;1,TB!$H$6:$H$225,0))-INDEX(TB!$C$6:$C$225,MATCH("LTPROV#"&amp;1,TB!$H$6:$H$225,0)))/RND)</f>
        <v/>
      </c>
      <c r="D41" s="47">
        <f>IF(B41="","",-1*(INDEX(TB!$D$6:$D$225,MATCH("LTPROV#"&amp;1,TB!$H$6:$H$225,0))-INDEX(TB!$E$6:$E$225,MATCH("LTPROV#"&amp;1,TB!$H$6:$H$225,0)))/RND)</f>
        <v/>
      </c>
    </row>
    <row r="42">
      <c r="B42" s="11">
        <f>IFERROR(INDEX(TB!$A$6:$A$225,MATCH("LTPROV#"&amp;2,TB!$H$6:$H$225,0)),"")</f>
        <v/>
      </c>
      <c r="C42" s="47">
        <f>IF(B42="","",-1*(INDEX(TB!$B$6:$B$225,MATCH("LTPROV#"&amp;2,TB!$H$6:$H$225,0))-INDEX(TB!$C$6:$C$225,MATCH("LTPROV#"&amp;2,TB!$H$6:$H$225,0)))/RND)</f>
        <v/>
      </c>
      <c r="D42" s="47">
        <f>IF(B42="","",-1*(INDEX(TB!$D$6:$D$225,MATCH("LTPROV#"&amp;2,TB!$H$6:$H$225,0))-INDEX(TB!$E$6:$E$225,MATCH("LTPROV#"&amp;2,TB!$H$6:$H$225,0)))/RND)</f>
        <v/>
      </c>
    </row>
    <row r="43">
      <c r="B43" s="11">
        <f>IFERROR(INDEX(TB!$A$6:$A$225,MATCH("LTPROV#"&amp;3,TB!$H$6:$H$225,0)),"")</f>
        <v/>
      </c>
      <c r="C43" s="47">
        <f>IF(B43="","",-1*(INDEX(TB!$B$6:$B$225,MATCH("LTPROV#"&amp;3,TB!$H$6:$H$225,0))-INDEX(TB!$C$6:$C$225,MATCH("LTPROV#"&amp;3,TB!$H$6:$H$225,0)))/RND)</f>
        <v/>
      </c>
      <c r="D43" s="47">
        <f>IF(B43="","",-1*(INDEX(TB!$D$6:$D$225,MATCH("LTPROV#"&amp;3,TB!$H$6:$H$225,0))-INDEX(TB!$E$6:$E$225,MATCH("LTPROV#"&amp;3,TB!$H$6:$H$225,0)))/RND)</f>
        <v/>
      </c>
    </row>
    <row r="44">
      <c r="B44" s="11">
        <f>IFERROR(INDEX(TB!$A$6:$A$225,MATCH("LTPROV#"&amp;4,TB!$H$6:$H$225,0)),"")</f>
        <v/>
      </c>
      <c r="C44" s="47">
        <f>IF(B44="","",-1*(INDEX(TB!$B$6:$B$225,MATCH("LTPROV#"&amp;4,TB!$H$6:$H$225,0))-INDEX(TB!$C$6:$C$225,MATCH("LTPROV#"&amp;4,TB!$H$6:$H$225,0)))/RND)</f>
        <v/>
      </c>
      <c r="D44" s="47">
        <f>IF(B44="","",-1*(INDEX(TB!$D$6:$D$225,MATCH("LTPROV#"&amp;4,TB!$H$6:$H$225,0))-INDEX(TB!$E$6:$E$225,MATCH("LTPROV#"&amp;4,TB!$H$6:$H$225,0)))/RND)</f>
        <v/>
      </c>
    </row>
    <row r="45">
      <c r="B45" s="11">
        <f>IFERROR(INDEX(TB!$A$6:$A$225,MATCH("LTPROV#"&amp;5,TB!$H$6:$H$225,0)),"")</f>
        <v/>
      </c>
      <c r="C45" s="47">
        <f>IF(B45="","",-1*(INDEX(TB!$B$6:$B$225,MATCH("LTPROV#"&amp;5,TB!$H$6:$H$225,0))-INDEX(TB!$C$6:$C$225,MATCH("LTPROV#"&amp;5,TB!$H$6:$H$225,0)))/RND)</f>
        <v/>
      </c>
      <c r="D45" s="47">
        <f>IF(B45="","",-1*(INDEX(TB!$D$6:$D$225,MATCH("LTPROV#"&amp;5,TB!$H$6:$H$225,0))-INDEX(TB!$E$6:$E$225,MATCH("LTPROV#"&amp;5,TB!$H$6:$H$225,0)))/RND)</f>
        <v/>
      </c>
    </row>
    <row r="46">
      <c r="B46" s="7" t="inlineStr">
        <is>
          <t>Further ledgers tagged LTPROV beyond 5 lines (combined)</t>
        </is>
      </c>
      <c r="C46" s="47">
        <f>-1*Calc!$B$7/RND-SUM(C41:C45)</f>
        <v/>
      </c>
      <c r="D46" s="47">
        <f>-1*Calc!$C$7/RND-SUM(D41:D45)</f>
        <v/>
      </c>
    </row>
    <row r="47">
      <c r="B47" s="14" t="inlineStr">
        <is>
          <t>Total</t>
        </is>
      </c>
      <c r="C47" s="49">
        <f>-1*Calc!$B$7/RND</f>
        <v/>
      </c>
      <c r="D47" s="49">
        <f>-1*Calc!$C$7/RND</f>
        <v/>
      </c>
    </row>
    <row r="48"/>
    <row r="49">
      <c r="B49" s="5" t="inlineStr">
        <is>
          <t>Note 8 - Short-term borrowings</t>
        </is>
      </c>
    </row>
    <row r="50">
      <c r="B50" s="12" t="inlineStr">
        <is>
          <t>Particulars (auto from TB tagging)</t>
        </is>
      </c>
      <c r="C50" s="12" t="inlineStr">
        <is>
          <t>Current year</t>
        </is>
      </c>
      <c r="D50" s="12" t="inlineStr">
        <is>
          <t>Previous year</t>
        </is>
      </c>
    </row>
    <row r="51">
      <c r="B51" s="34" t="inlineStr">
        <is>
          <t>Current maturities of long-term borrowings (from Borrowings sheet)</t>
        </is>
      </c>
      <c r="C51" s="57">
        <f>Borrowings!$J$18/RND</f>
        <v/>
      </c>
      <c r="D51" s="47">
        <f>Borrowings!$I$27/RND</f>
        <v/>
      </c>
    </row>
    <row r="52">
      <c r="B52" s="11">
        <f>IFERROR(INDEX(TB!$A$6:$A$225,MATCH("STB#"&amp;1,TB!$H$6:$H$225,0)),"")</f>
        <v/>
      </c>
      <c r="C52" s="47">
        <f>IF(B52="","",-1*(INDEX(TB!$B$6:$B$225,MATCH("STB#"&amp;1,TB!$H$6:$H$225,0))-INDEX(TB!$C$6:$C$225,MATCH("STB#"&amp;1,TB!$H$6:$H$225,0)))/RND)</f>
        <v/>
      </c>
      <c r="D52" s="47">
        <f>IF(B52="","",-1*(INDEX(TB!$D$6:$D$225,MATCH("STB#"&amp;1,TB!$H$6:$H$225,0))-INDEX(TB!$E$6:$E$225,MATCH("STB#"&amp;1,TB!$H$6:$H$225,0)))/RND)</f>
        <v/>
      </c>
    </row>
    <row r="53">
      <c r="B53" s="11">
        <f>IFERROR(INDEX(TB!$A$6:$A$225,MATCH("STB#"&amp;2,TB!$H$6:$H$225,0)),"")</f>
        <v/>
      </c>
      <c r="C53" s="47">
        <f>IF(B53="","",-1*(INDEX(TB!$B$6:$B$225,MATCH("STB#"&amp;2,TB!$H$6:$H$225,0))-INDEX(TB!$C$6:$C$225,MATCH("STB#"&amp;2,TB!$H$6:$H$225,0)))/RND)</f>
        <v/>
      </c>
      <c r="D53" s="47">
        <f>IF(B53="","",-1*(INDEX(TB!$D$6:$D$225,MATCH("STB#"&amp;2,TB!$H$6:$H$225,0))-INDEX(TB!$E$6:$E$225,MATCH("STB#"&amp;2,TB!$H$6:$H$225,0)))/RND)</f>
        <v/>
      </c>
    </row>
    <row r="54">
      <c r="B54" s="11">
        <f>IFERROR(INDEX(TB!$A$6:$A$225,MATCH("STB#"&amp;3,TB!$H$6:$H$225,0)),"")</f>
        <v/>
      </c>
      <c r="C54" s="47">
        <f>IF(B54="","",-1*(INDEX(TB!$B$6:$B$225,MATCH("STB#"&amp;3,TB!$H$6:$H$225,0))-INDEX(TB!$C$6:$C$225,MATCH("STB#"&amp;3,TB!$H$6:$H$225,0)))/RND)</f>
        <v/>
      </c>
      <c r="D54" s="47">
        <f>IF(B54="","",-1*(INDEX(TB!$D$6:$D$225,MATCH("STB#"&amp;3,TB!$H$6:$H$225,0))-INDEX(TB!$E$6:$E$225,MATCH("STB#"&amp;3,TB!$H$6:$H$225,0)))/RND)</f>
        <v/>
      </c>
    </row>
    <row r="55">
      <c r="B55" s="11">
        <f>IFERROR(INDEX(TB!$A$6:$A$225,MATCH("STB#"&amp;4,TB!$H$6:$H$225,0)),"")</f>
        <v/>
      </c>
      <c r="C55" s="47">
        <f>IF(B55="","",-1*(INDEX(TB!$B$6:$B$225,MATCH("STB#"&amp;4,TB!$H$6:$H$225,0))-INDEX(TB!$C$6:$C$225,MATCH("STB#"&amp;4,TB!$H$6:$H$225,0)))/RND)</f>
        <v/>
      </c>
      <c r="D55" s="47">
        <f>IF(B55="","",-1*(INDEX(TB!$D$6:$D$225,MATCH("STB#"&amp;4,TB!$H$6:$H$225,0))-INDEX(TB!$E$6:$E$225,MATCH("STB#"&amp;4,TB!$H$6:$H$225,0)))/RND)</f>
        <v/>
      </c>
    </row>
    <row r="56">
      <c r="B56" s="11">
        <f>IFERROR(INDEX(TB!$A$6:$A$225,MATCH("STB#"&amp;5,TB!$H$6:$H$225,0)),"")</f>
        <v/>
      </c>
      <c r="C56" s="47">
        <f>IF(B56="","",-1*(INDEX(TB!$B$6:$B$225,MATCH("STB#"&amp;5,TB!$H$6:$H$225,0))-INDEX(TB!$C$6:$C$225,MATCH("STB#"&amp;5,TB!$H$6:$H$225,0)))/RND)</f>
        <v/>
      </c>
      <c r="D56" s="47">
        <f>IF(B56="","",-1*(INDEX(TB!$D$6:$D$225,MATCH("STB#"&amp;5,TB!$H$6:$H$225,0))-INDEX(TB!$E$6:$E$225,MATCH("STB#"&amp;5,TB!$H$6:$H$225,0)))/RND)</f>
        <v/>
      </c>
    </row>
    <row r="57">
      <c r="B57" s="11">
        <f>IFERROR(INDEX(TB!$A$6:$A$225,MATCH("STB#"&amp;6,TB!$H$6:$H$225,0)),"")</f>
        <v/>
      </c>
      <c r="C57" s="47">
        <f>IF(B57="","",-1*(INDEX(TB!$B$6:$B$225,MATCH("STB#"&amp;6,TB!$H$6:$H$225,0))-INDEX(TB!$C$6:$C$225,MATCH("STB#"&amp;6,TB!$H$6:$H$225,0)))/RND)</f>
        <v/>
      </c>
      <c r="D57" s="47">
        <f>IF(B57="","",-1*(INDEX(TB!$D$6:$D$225,MATCH("STB#"&amp;6,TB!$H$6:$H$225,0))-INDEX(TB!$E$6:$E$225,MATCH("STB#"&amp;6,TB!$H$6:$H$225,0)))/RND)</f>
        <v/>
      </c>
    </row>
    <row r="58">
      <c r="B58" s="7" t="inlineStr">
        <is>
          <t>Further ledgers tagged STB beyond 6 lines (combined)</t>
        </is>
      </c>
      <c r="C58" s="47">
        <f>-1*Calc!$B$8/RND-SUM(C51:C57)</f>
        <v/>
      </c>
      <c r="D58" s="47">
        <f>-1*Calc!$C$8/RND-SUM(D51:D57)</f>
        <v/>
      </c>
    </row>
    <row r="59">
      <c r="B59" s="14" t="inlineStr">
        <is>
          <t>Total</t>
        </is>
      </c>
      <c r="C59" s="49">
        <f>-1*Calc!$B$8/RND+Borrowings!$J$18/RND</f>
        <v/>
      </c>
      <c r="D59" s="49">
        <f>-1*Calc!$C$8/RND+Borrowings!$I$27/RND</f>
        <v/>
      </c>
    </row>
    <row r="60"/>
    <row r="61">
      <c r="B61" s="5" t="inlineStr">
        <is>
          <t>Note 9 - Trade payables</t>
        </is>
      </c>
    </row>
    <row r="62">
      <c r="B62" s="7" t="inlineStr">
        <is>
          <t>Ageing per the Ageing sheet; MSME vs others split comes from map codes TPMS / TPOTH.</t>
        </is>
      </c>
    </row>
    <row r="63">
      <c r="B63" s="4" t="inlineStr">
        <is>
          <t>Micro and small enterprises</t>
        </is>
      </c>
      <c r="C63" s="47">
        <f>-Calc!$B$9/RND</f>
        <v/>
      </c>
      <c r="D63" s="47">
        <f>-Calc!$C$9/RND</f>
        <v/>
      </c>
    </row>
    <row r="64">
      <c r="B64" s="4" t="inlineStr">
        <is>
          <t>Others</t>
        </is>
      </c>
      <c r="C64" s="47">
        <f>-Calc!$B$10/RND</f>
        <v/>
      </c>
      <c r="D64" s="47">
        <f>-Calc!$C$10/RND</f>
        <v/>
      </c>
    </row>
    <row r="65"/>
    <row r="66">
      <c r="B66" s="5" t="inlineStr">
        <is>
          <t>Note 10 - Other current liabilities</t>
        </is>
      </c>
    </row>
    <row r="67">
      <c r="B67" s="12" t="inlineStr">
        <is>
          <t>Particulars (auto from TB tagging)</t>
        </is>
      </c>
      <c r="C67" s="12" t="inlineStr">
        <is>
          <t>Current year</t>
        </is>
      </c>
      <c r="D67" s="12" t="inlineStr">
        <is>
          <t>Previous year</t>
        </is>
      </c>
    </row>
    <row r="68">
      <c r="B68" s="34" t="inlineStr">
        <is>
          <t>of which: interest accrued but not due (Borrowings sheet)</t>
        </is>
      </c>
      <c r="C68" s="57">
        <f>Borrowings!$L$18/RND</f>
        <v/>
      </c>
    </row>
    <row r="69">
      <c r="B69" s="11">
        <f>IFERROR(INDEX(TB!$A$6:$A$225,MATCH("OCL#"&amp;1,TB!$H$6:$H$225,0)),"")</f>
        <v/>
      </c>
      <c r="C69" s="47">
        <f>IF(B69="","",-1*(INDEX(TB!$B$6:$B$225,MATCH("OCL#"&amp;1,TB!$H$6:$H$225,0))-INDEX(TB!$C$6:$C$225,MATCH("OCL#"&amp;1,TB!$H$6:$H$225,0)))/RND)</f>
        <v/>
      </c>
      <c r="D69" s="47">
        <f>IF(B69="","",-1*(INDEX(TB!$D$6:$D$225,MATCH("OCL#"&amp;1,TB!$H$6:$H$225,0))-INDEX(TB!$E$6:$E$225,MATCH("OCL#"&amp;1,TB!$H$6:$H$225,0)))/RND)</f>
        <v/>
      </c>
    </row>
    <row r="70">
      <c r="B70" s="11">
        <f>IFERROR(INDEX(TB!$A$6:$A$225,MATCH("OCL#"&amp;2,TB!$H$6:$H$225,0)),"")</f>
        <v/>
      </c>
      <c r="C70" s="47">
        <f>IF(B70="","",-1*(INDEX(TB!$B$6:$B$225,MATCH("OCL#"&amp;2,TB!$H$6:$H$225,0))-INDEX(TB!$C$6:$C$225,MATCH("OCL#"&amp;2,TB!$H$6:$H$225,0)))/RND)</f>
        <v/>
      </c>
      <c r="D70" s="47">
        <f>IF(B70="","",-1*(INDEX(TB!$D$6:$D$225,MATCH("OCL#"&amp;2,TB!$H$6:$H$225,0))-INDEX(TB!$E$6:$E$225,MATCH("OCL#"&amp;2,TB!$H$6:$H$225,0)))/RND)</f>
        <v/>
      </c>
    </row>
    <row r="71">
      <c r="B71" s="11">
        <f>IFERROR(INDEX(TB!$A$6:$A$225,MATCH("OCL#"&amp;3,TB!$H$6:$H$225,0)),"")</f>
        <v/>
      </c>
      <c r="C71" s="47">
        <f>IF(B71="","",-1*(INDEX(TB!$B$6:$B$225,MATCH("OCL#"&amp;3,TB!$H$6:$H$225,0))-INDEX(TB!$C$6:$C$225,MATCH("OCL#"&amp;3,TB!$H$6:$H$225,0)))/RND)</f>
        <v/>
      </c>
      <c r="D71" s="47">
        <f>IF(B71="","",-1*(INDEX(TB!$D$6:$D$225,MATCH("OCL#"&amp;3,TB!$H$6:$H$225,0))-INDEX(TB!$E$6:$E$225,MATCH("OCL#"&amp;3,TB!$H$6:$H$225,0)))/RND)</f>
        <v/>
      </c>
    </row>
    <row r="72">
      <c r="B72" s="11">
        <f>IFERROR(INDEX(TB!$A$6:$A$225,MATCH("OCL#"&amp;4,TB!$H$6:$H$225,0)),"")</f>
        <v/>
      </c>
      <c r="C72" s="47">
        <f>IF(B72="","",-1*(INDEX(TB!$B$6:$B$225,MATCH("OCL#"&amp;4,TB!$H$6:$H$225,0))-INDEX(TB!$C$6:$C$225,MATCH("OCL#"&amp;4,TB!$H$6:$H$225,0)))/RND)</f>
        <v/>
      </c>
      <c r="D72" s="47">
        <f>IF(B72="","",-1*(INDEX(TB!$D$6:$D$225,MATCH("OCL#"&amp;4,TB!$H$6:$H$225,0))-INDEX(TB!$E$6:$E$225,MATCH("OCL#"&amp;4,TB!$H$6:$H$225,0)))/RND)</f>
        <v/>
      </c>
    </row>
    <row r="73">
      <c r="B73" s="11">
        <f>IFERROR(INDEX(TB!$A$6:$A$225,MATCH("OCL#"&amp;5,TB!$H$6:$H$225,0)),"")</f>
        <v/>
      </c>
      <c r="C73" s="47">
        <f>IF(B73="","",-1*(INDEX(TB!$B$6:$B$225,MATCH("OCL#"&amp;5,TB!$H$6:$H$225,0))-INDEX(TB!$C$6:$C$225,MATCH("OCL#"&amp;5,TB!$H$6:$H$225,0)))/RND)</f>
        <v/>
      </c>
      <c r="D73" s="47">
        <f>IF(B73="","",-1*(INDEX(TB!$D$6:$D$225,MATCH("OCL#"&amp;5,TB!$H$6:$H$225,0))-INDEX(TB!$E$6:$E$225,MATCH("OCL#"&amp;5,TB!$H$6:$H$225,0)))/RND)</f>
        <v/>
      </c>
    </row>
    <row r="74">
      <c r="B74" s="11">
        <f>IFERROR(INDEX(TB!$A$6:$A$225,MATCH("OCL#"&amp;6,TB!$H$6:$H$225,0)),"")</f>
        <v/>
      </c>
      <c r="C74" s="47">
        <f>IF(B74="","",-1*(INDEX(TB!$B$6:$B$225,MATCH("OCL#"&amp;6,TB!$H$6:$H$225,0))-INDEX(TB!$C$6:$C$225,MATCH("OCL#"&amp;6,TB!$H$6:$H$225,0)))/RND)</f>
        <v/>
      </c>
      <c r="D74" s="47">
        <f>IF(B74="","",-1*(INDEX(TB!$D$6:$D$225,MATCH("OCL#"&amp;6,TB!$H$6:$H$225,0))-INDEX(TB!$E$6:$E$225,MATCH("OCL#"&amp;6,TB!$H$6:$H$225,0)))/RND)</f>
        <v/>
      </c>
    </row>
    <row r="75">
      <c r="B75" s="11">
        <f>IFERROR(INDEX(TB!$A$6:$A$225,MATCH("OCL#"&amp;7,TB!$H$6:$H$225,0)),"")</f>
        <v/>
      </c>
      <c r="C75" s="47">
        <f>IF(B75="","",-1*(INDEX(TB!$B$6:$B$225,MATCH("OCL#"&amp;7,TB!$H$6:$H$225,0))-INDEX(TB!$C$6:$C$225,MATCH("OCL#"&amp;7,TB!$H$6:$H$225,0)))/RND)</f>
        <v/>
      </c>
      <c r="D75" s="47">
        <f>IF(B75="","",-1*(INDEX(TB!$D$6:$D$225,MATCH("OCL#"&amp;7,TB!$H$6:$H$225,0))-INDEX(TB!$E$6:$E$225,MATCH("OCL#"&amp;7,TB!$H$6:$H$225,0)))/RND)</f>
        <v/>
      </c>
    </row>
    <row r="76">
      <c r="B76" s="7" t="inlineStr">
        <is>
          <t>Further ledgers tagged OCL beyond 7 lines (combined)</t>
        </is>
      </c>
      <c r="C76" s="47">
        <f>-1*Calc!$B$11/RND-SUM(C68:C75)</f>
        <v/>
      </c>
      <c r="D76" s="47">
        <f>-1*Calc!$C$11/RND-SUM(D68:D75)</f>
        <v/>
      </c>
    </row>
    <row r="77">
      <c r="B77" s="14" t="inlineStr">
        <is>
          <t>Total</t>
        </is>
      </c>
      <c r="C77" s="49">
        <f>-1*Calc!$B$11/RND</f>
        <v/>
      </c>
      <c r="D77" s="49">
        <f>-1*Calc!$C$11/RND</f>
        <v/>
      </c>
    </row>
    <row r="78"/>
    <row r="79">
      <c r="B79" s="5" t="inlineStr">
        <is>
          <t>Note 11 - Short-term provisions</t>
        </is>
      </c>
    </row>
    <row r="80">
      <c r="B80" s="12" t="inlineStr">
        <is>
          <t>Particulars (auto from TB tagging)</t>
        </is>
      </c>
      <c r="C80" s="12" t="inlineStr">
        <is>
          <t>Current year</t>
        </is>
      </c>
      <c r="D80" s="12" t="inlineStr">
        <is>
          <t>Previous year</t>
        </is>
      </c>
    </row>
    <row r="81">
      <c r="B81" s="11">
        <f>IFERROR(INDEX(TB!$A$6:$A$225,MATCH("STPROV#"&amp;1,TB!$H$6:$H$225,0)),"")</f>
        <v/>
      </c>
      <c r="C81" s="47">
        <f>IF(B81="","",-1*(INDEX(TB!$B$6:$B$225,MATCH("STPROV#"&amp;1,TB!$H$6:$H$225,0))-INDEX(TB!$C$6:$C$225,MATCH("STPROV#"&amp;1,TB!$H$6:$H$225,0)))/RND)</f>
        <v/>
      </c>
      <c r="D81" s="47">
        <f>IF(B81="","",-1*(INDEX(TB!$D$6:$D$225,MATCH("STPROV#"&amp;1,TB!$H$6:$H$225,0))-INDEX(TB!$E$6:$E$225,MATCH("STPROV#"&amp;1,TB!$H$6:$H$225,0)))/RND)</f>
        <v/>
      </c>
    </row>
    <row r="82">
      <c r="B82" s="11">
        <f>IFERROR(INDEX(TB!$A$6:$A$225,MATCH("STPROV#"&amp;2,TB!$H$6:$H$225,0)),"")</f>
        <v/>
      </c>
      <c r="C82" s="47">
        <f>IF(B82="","",-1*(INDEX(TB!$B$6:$B$225,MATCH("STPROV#"&amp;2,TB!$H$6:$H$225,0))-INDEX(TB!$C$6:$C$225,MATCH("STPROV#"&amp;2,TB!$H$6:$H$225,0)))/RND)</f>
        <v/>
      </c>
      <c r="D82" s="47">
        <f>IF(B82="","",-1*(INDEX(TB!$D$6:$D$225,MATCH("STPROV#"&amp;2,TB!$H$6:$H$225,0))-INDEX(TB!$E$6:$E$225,MATCH("STPROV#"&amp;2,TB!$H$6:$H$225,0)))/RND)</f>
        <v/>
      </c>
    </row>
    <row r="83">
      <c r="B83" s="11">
        <f>IFERROR(INDEX(TB!$A$6:$A$225,MATCH("STPROV#"&amp;3,TB!$H$6:$H$225,0)),"")</f>
        <v/>
      </c>
      <c r="C83" s="47">
        <f>IF(B83="","",-1*(INDEX(TB!$B$6:$B$225,MATCH("STPROV#"&amp;3,TB!$H$6:$H$225,0))-INDEX(TB!$C$6:$C$225,MATCH("STPROV#"&amp;3,TB!$H$6:$H$225,0)))/RND)</f>
        <v/>
      </c>
      <c r="D83" s="47">
        <f>IF(B83="","",-1*(INDEX(TB!$D$6:$D$225,MATCH("STPROV#"&amp;3,TB!$H$6:$H$225,0))-INDEX(TB!$E$6:$E$225,MATCH("STPROV#"&amp;3,TB!$H$6:$H$225,0)))/RND)</f>
        <v/>
      </c>
    </row>
    <row r="84">
      <c r="B84" s="11">
        <f>IFERROR(INDEX(TB!$A$6:$A$225,MATCH("STPROV#"&amp;4,TB!$H$6:$H$225,0)),"")</f>
        <v/>
      </c>
      <c r="C84" s="47">
        <f>IF(B84="","",-1*(INDEX(TB!$B$6:$B$225,MATCH("STPROV#"&amp;4,TB!$H$6:$H$225,0))-INDEX(TB!$C$6:$C$225,MATCH("STPROV#"&amp;4,TB!$H$6:$H$225,0)))/RND)</f>
        <v/>
      </c>
      <c r="D84" s="47">
        <f>IF(B84="","",-1*(INDEX(TB!$D$6:$D$225,MATCH("STPROV#"&amp;4,TB!$H$6:$H$225,0))-INDEX(TB!$E$6:$E$225,MATCH("STPROV#"&amp;4,TB!$H$6:$H$225,0)))/RND)</f>
        <v/>
      </c>
    </row>
    <row r="85">
      <c r="B85" s="11">
        <f>IFERROR(INDEX(TB!$A$6:$A$225,MATCH("STPROV#"&amp;5,TB!$H$6:$H$225,0)),"")</f>
        <v/>
      </c>
      <c r="C85" s="47">
        <f>IF(B85="","",-1*(INDEX(TB!$B$6:$B$225,MATCH("STPROV#"&amp;5,TB!$H$6:$H$225,0))-INDEX(TB!$C$6:$C$225,MATCH("STPROV#"&amp;5,TB!$H$6:$H$225,0)))/RND)</f>
        <v/>
      </c>
      <c r="D85" s="47">
        <f>IF(B85="","",-1*(INDEX(TB!$D$6:$D$225,MATCH("STPROV#"&amp;5,TB!$H$6:$H$225,0))-INDEX(TB!$E$6:$E$225,MATCH("STPROV#"&amp;5,TB!$H$6:$H$225,0)))/RND)</f>
        <v/>
      </c>
    </row>
    <row r="86">
      <c r="B86" s="7" t="inlineStr">
        <is>
          <t>Further ledgers tagged STPROV beyond 5 lines (combined)</t>
        </is>
      </c>
      <c r="C86" s="47">
        <f>-1*Calc!$B$12/RND-SUM(C81:C85)</f>
        <v/>
      </c>
      <c r="D86" s="47">
        <f>-1*Calc!$C$12/RND-SUM(D81:D85)</f>
        <v/>
      </c>
    </row>
    <row r="87">
      <c r="B87" s="14" t="inlineStr">
        <is>
          <t>Total</t>
        </is>
      </c>
      <c r="C87" s="49">
        <f>-1*Calc!$B$12/RND</f>
        <v/>
      </c>
      <c r="D87" s="49">
        <f>-1*Calc!$C$12/RND</f>
        <v/>
      </c>
    </row>
    <row r="88"/>
    <row r="89">
      <c r="B89" s="5" t="inlineStr">
        <is>
          <t>Note 12 - Property, plant and equipment (movement, Rs)</t>
        </is>
      </c>
    </row>
    <row r="90">
      <c r="B90" s="7" t="inlineStr">
        <is>
          <t>Build the asset-wise register in the free CalcGuru Depreciation/FAR Excel and carry the block totals here.</t>
        </is>
      </c>
    </row>
    <row r="91">
      <c r="B91" s="12" t="inlineStr">
        <is>
          <t>Asset block</t>
        </is>
      </c>
      <c r="C91" s="12" t="inlineStr">
        <is>
          <t>Gross block (closing)</t>
        </is>
      </c>
      <c r="D91" s="12" t="inlineStr">
        <is>
          <t>Accumulated depreciation (closing)</t>
        </is>
      </c>
      <c r="E91" s="12" t="inlineStr">
        <is>
          <t>Net block (auto)</t>
        </is>
      </c>
    </row>
    <row r="92">
      <c r="B92" s="40" t="n"/>
      <c r="C92" s="42" t="n">
        <v>0</v>
      </c>
      <c r="D92" s="42" t="n">
        <v>0</v>
      </c>
      <c r="E92" s="43">
        <f>C92-D92</f>
        <v/>
      </c>
    </row>
    <row r="93">
      <c r="B93" s="40" t="n"/>
      <c r="C93" s="42" t="n">
        <v>0</v>
      </c>
      <c r="D93" s="42" t="n">
        <v>0</v>
      </c>
      <c r="E93" s="43">
        <f>C93-D93</f>
        <v/>
      </c>
    </row>
    <row r="94">
      <c r="B94" s="40" t="n"/>
      <c r="C94" s="42" t="n">
        <v>0</v>
      </c>
      <c r="D94" s="42" t="n">
        <v>0</v>
      </c>
      <c r="E94" s="43">
        <f>C94-D94</f>
        <v/>
      </c>
    </row>
    <row r="95">
      <c r="B95" s="40" t="n"/>
      <c r="C95" s="42" t="n">
        <v>0</v>
      </c>
      <c r="D95" s="42" t="n">
        <v>0</v>
      </c>
      <c r="E95" s="43">
        <f>C95-D95</f>
        <v/>
      </c>
    </row>
    <row r="96">
      <c r="B96" s="40" t="n"/>
      <c r="C96" s="42" t="n">
        <v>0</v>
      </c>
      <c r="D96" s="42" t="n">
        <v>0</v>
      </c>
      <c r="E96" s="43">
        <f>C96-D96</f>
        <v/>
      </c>
    </row>
    <row r="97">
      <c r="B97" s="40" t="n"/>
      <c r="C97" s="42" t="n">
        <v>0</v>
      </c>
      <c r="D97" s="42" t="n">
        <v>0</v>
      </c>
      <c r="E97" s="43">
        <f>C97-D97</f>
        <v/>
      </c>
    </row>
    <row r="98">
      <c r="B98" s="14" t="inlineStr">
        <is>
          <t>Net per grid</t>
        </is>
      </c>
      <c r="E98" s="44">
        <f>SUM(E92:E97)</f>
        <v/>
      </c>
    </row>
    <row r="99">
      <c r="B99" s="4" t="inlineStr">
        <is>
          <t>TB PPE + intangibles (net)</t>
        </is>
      </c>
      <c r="E99" s="43">
        <f>Calc!$B$13+Calc!$B$14</f>
        <v/>
      </c>
    </row>
    <row r="100"/>
    <row r="101">
      <c r="B101" s="5" t="inlineStr">
        <is>
          <t>Note 13 - Investments (non-current and current)</t>
        </is>
      </c>
    </row>
    <row r="102">
      <c r="B102" s="12" t="inlineStr">
        <is>
          <t>Particulars (auto from TB tagging)</t>
        </is>
      </c>
      <c r="C102" s="12" t="inlineStr">
        <is>
          <t>Current year</t>
        </is>
      </c>
      <c r="D102" s="12" t="inlineStr">
        <is>
          <t>Previous year</t>
        </is>
      </c>
    </row>
    <row r="103">
      <c r="B103" s="11">
        <f>IFERROR(INDEX(TB!$A$6:$A$225,MATCH("NCINV#"&amp;1,TB!$H$6:$H$225,0)),"")</f>
        <v/>
      </c>
      <c r="C103" s="47">
        <f>IF(B103="","",1*(INDEX(TB!$B$6:$B$225,MATCH("NCINV#"&amp;1,TB!$H$6:$H$225,0))-INDEX(TB!$C$6:$C$225,MATCH("NCINV#"&amp;1,TB!$H$6:$H$225,0)))/RND)</f>
        <v/>
      </c>
      <c r="D103" s="47">
        <f>IF(B103="","",1*(INDEX(TB!$D$6:$D$225,MATCH("NCINV#"&amp;1,TB!$H$6:$H$225,0))-INDEX(TB!$E$6:$E$225,MATCH("NCINV#"&amp;1,TB!$H$6:$H$225,0)))/RND)</f>
        <v/>
      </c>
    </row>
    <row r="104">
      <c r="B104" s="11">
        <f>IFERROR(INDEX(TB!$A$6:$A$225,MATCH("NCINV#"&amp;2,TB!$H$6:$H$225,0)),"")</f>
        <v/>
      </c>
      <c r="C104" s="47">
        <f>IF(B104="","",1*(INDEX(TB!$B$6:$B$225,MATCH("NCINV#"&amp;2,TB!$H$6:$H$225,0))-INDEX(TB!$C$6:$C$225,MATCH("NCINV#"&amp;2,TB!$H$6:$H$225,0)))/RND)</f>
        <v/>
      </c>
      <c r="D104" s="47">
        <f>IF(B104="","",1*(INDEX(TB!$D$6:$D$225,MATCH("NCINV#"&amp;2,TB!$H$6:$H$225,0))-INDEX(TB!$E$6:$E$225,MATCH("NCINV#"&amp;2,TB!$H$6:$H$225,0)))/RND)</f>
        <v/>
      </c>
    </row>
    <row r="105">
      <c r="B105" s="11">
        <f>IFERROR(INDEX(TB!$A$6:$A$225,MATCH("NCINV#"&amp;3,TB!$H$6:$H$225,0)),"")</f>
        <v/>
      </c>
      <c r="C105" s="47">
        <f>IF(B105="","",1*(INDEX(TB!$B$6:$B$225,MATCH("NCINV#"&amp;3,TB!$H$6:$H$225,0))-INDEX(TB!$C$6:$C$225,MATCH("NCINV#"&amp;3,TB!$H$6:$H$225,0)))/RND)</f>
        <v/>
      </c>
      <c r="D105" s="47">
        <f>IF(B105="","",1*(INDEX(TB!$D$6:$D$225,MATCH("NCINV#"&amp;3,TB!$H$6:$H$225,0))-INDEX(TB!$E$6:$E$225,MATCH("NCINV#"&amp;3,TB!$H$6:$H$225,0)))/RND)</f>
        <v/>
      </c>
    </row>
    <row r="106">
      <c r="B106" s="11">
        <f>IFERROR(INDEX(TB!$A$6:$A$225,MATCH("NCINV#"&amp;4,TB!$H$6:$H$225,0)),"")</f>
        <v/>
      </c>
      <c r="C106" s="47">
        <f>IF(B106="","",1*(INDEX(TB!$B$6:$B$225,MATCH("NCINV#"&amp;4,TB!$H$6:$H$225,0))-INDEX(TB!$C$6:$C$225,MATCH("NCINV#"&amp;4,TB!$H$6:$H$225,0)))/RND)</f>
        <v/>
      </c>
      <c r="D106" s="47">
        <f>IF(B106="","",1*(INDEX(TB!$D$6:$D$225,MATCH("NCINV#"&amp;4,TB!$H$6:$H$225,0))-INDEX(TB!$E$6:$E$225,MATCH("NCINV#"&amp;4,TB!$H$6:$H$225,0)))/RND)</f>
        <v/>
      </c>
    </row>
    <row r="107">
      <c r="B107" s="11">
        <f>IFERROR(INDEX(TB!$A$6:$A$225,MATCH("NCINV#"&amp;5,TB!$H$6:$H$225,0)),"")</f>
        <v/>
      </c>
      <c r="C107" s="47">
        <f>IF(B107="","",1*(INDEX(TB!$B$6:$B$225,MATCH("NCINV#"&amp;5,TB!$H$6:$H$225,0))-INDEX(TB!$C$6:$C$225,MATCH("NCINV#"&amp;5,TB!$H$6:$H$225,0)))/RND)</f>
        <v/>
      </c>
      <c r="D107" s="47">
        <f>IF(B107="","",1*(INDEX(TB!$D$6:$D$225,MATCH("NCINV#"&amp;5,TB!$H$6:$H$225,0))-INDEX(TB!$E$6:$E$225,MATCH("NCINV#"&amp;5,TB!$H$6:$H$225,0)))/RND)</f>
        <v/>
      </c>
    </row>
    <row r="108">
      <c r="B108" s="7" t="inlineStr">
        <is>
          <t>Further ledgers tagged NCINV beyond 5 lines (combined)</t>
        </is>
      </c>
      <c r="C108" s="47">
        <f>1*Calc!$B$17/RND-SUM(C103:C107)</f>
        <v/>
      </c>
      <c r="D108" s="47">
        <f>1*Calc!$C$17/RND-SUM(D103:D107)</f>
        <v/>
      </c>
    </row>
    <row r="109">
      <c r="B109" s="14" t="inlineStr">
        <is>
          <t>Total</t>
        </is>
      </c>
      <c r="C109" s="49">
        <f>1*Calc!$B$17/RND</f>
        <v/>
      </c>
      <c r="D109" s="49">
        <f>1*Calc!$C$17/RND</f>
        <v/>
      </c>
    </row>
    <row r="110"/>
    <row r="111">
      <c r="B111" s="5" t="inlineStr">
        <is>
          <t>Note 13A - Current investments</t>
        </is>
      </c>
    </row>
    <row r="112">
      <c r="B112" s="12" t="inlineStr">
        <is>
          <t>Particulars (auto from TB tagging)</t>
        </is>
      </c>
      <c r="C112" s="12" t="inlineStr">
        <is>
          <t>Current year</t>
        </is>
      </c>
      <c r="D112" s="12" t="inlineStr">
        <is>
          <t>Previous year</t>
        </is>
      </c>
    </row>
    <row r="113">
      <c r="B113" s="11">
        <f>IFERROR(INDEX(TB!$A$6:$A$225,MATCH("CINV#"&amp;1,TB!$H$6:$H$225,0)),"")</f>
        <v/>
      </c>
      <c r="C113" s="47">
        <f>IF(B113="","",1*(INDEX(TB!$B$6:$B$225,MATCH("CINV#"&amp;1,TB!$H$6:$H$225,0))-INDEX(TB!$C$6:$C$225,MATCH("CINV#"&amp;1,TB!$H$6:$H$225,0)))/RND)</f>
        <v/>
      </c>
      <c r="D113" s="47">
        <f>IF(B113="","",1*(INDEX(TB!$D$6:$D$225,MATCH("CINV#"&amp;1,TB!$H$6:$H$225,0))-INDEX(TB!$E$6:$E$225,MATCH("CINV#"&amp;1,TB!$H$6:$H$225,0)))/RND)</f>
        <v/>
      </c>
    </row>
    <row r="114">
      <c r="B114" s="11">
        <f>IFERROR(INDEX(TB!$A$6:$A$225,MATCH("CINV#"&amp;2,TB!$H$6:$H$225,0)),"")</f>
        <v/>
      </c>
      <c r="C114" s="47">
        <f>IF(B114="","",1*(INDEX(TB!$B$6:$B$225,MATCH("CINV#"&amp;2,TB!$H$6:$H$225,0))-INDEX(TB!$C$6:$C$225,MATCH("CINV#"&amp;2,TB!$H$6:$H$225,0)))/RND)</f>
        <v/>
      </c>
      <c r="D114" s="47">
        <f>IF(B114="","",1*(INDEX(TB!$D$6:$D$225,MATCH("CINV#"&amp;2,TB!$H$6:$H$225,0))-INDEX(TB!$E$6:$E$225,MATCH("CINV#"&amp;2,TB!$H$6:$H$225,0)))/RND)</f>
        <v/>
      </c>
    </row>
    <row r="115">
      <c r="B115" s="11">
        <f>IFERROR(INDEX(TB!$A$6:$A$225,MATCH("CINV#"&amp;3,TB!$H$6:$H$225,0)),"")</f>
        <v/>
      </c>
      <c r="C115" s="47">
        <f>IF(B115="","",1*(INDEX(TB!$B$6:$B$225,MATCH("CINV#"&amp;3,TB!$H$6:$H$225,0))-INDEX(TB!$C$6:$C$225,MATCH("CINV#"&amp;3,TB!$H$6:$H$225,0)))/RND)</f>
        <v/>
      </c>
      <c r="D115" s="47">
        <f>IF(B115="","",1*(INDEX(TB!$D$6:$D$225,MATCH("CINV#"&amp;3,TB!$H$6:$H$225,0))-INDEX(TB!$E$6:$E$225,MATCH("CINV#"&amp;3,TB!$H$6:$H$225,0)))/RND)</f>
        <v/>
      </c>
    </row>
    <row r="116">
      <c r="B116" s="11">
        <f>IFERROR(INDEX(TB!$A$6:$A$225,MATCH("CINV#"&amp;4,TB!$H$6:$H$225,0)),"")</f>
        <v/>
      </c>
      <c r="C116" s="47">
        <f>IF(B116="","",1*(INDEX(TB!$B$6:$B$225,MATCH("CINV#"&amp;4,TB!$H$6:$H$225,0))-INDEX(TB!$C$6:$C$225,MATCH("CINV#"&amp;4,TB!$H$6:$H$225,0)))/RND)</f>
        <v/>
      </c>
      <c r="D116" s="47">
        <f>IF(B116="","",1*(INDEX(TB!$D$6:$D$225,MATCH("CINV#"&amp;4,TB!$H$6:$H$225,0))-INDEX(TB!$E$6:$E$225,MATCH("CINV#"&amp;4,TB!$H$6:$H$225,0)))/RND)</f>
        <v/>
      </c>
    </row>
    <row r="117">
      <c r="B117" s="7" t="inlineStr">
        <is>
          <t>Further ledgers tagged CINV beyond 4 lines (combined)</t>
        </is>
      </c>
      <c r="C117" s="47">
        <f>1*Calc!$B$21/RND-SUM(C113:C116)</f>
        <v/>
      </c>
      <c r="D117" s="47">
        <f>1*Calc!$C$21/RND-SUM(D113:D116)</f>
        <v/>
      </c>
    </row>
    <row r="118">
      <c r="B118" s="14" t="inlineStr">
        <is>
          <t>Total</t>
        </is>
      </c>
      <c r="C118" s="49">
        <f>1*Calc!$B$21/RND</f>
        <v/>
      </c>
      <c r="D118" s="49">
        <f>1*Calc!$C$21/RND</f>
        <v/>
      </c>
    </row>
    <row r="119"/>
    <row r="120">
      <c r="B120" s="5" t="inlineStr">
        <is>
          <t>Note 14 - Loans and advances (long-term)</t>
        </is>
      </c>
    </row>
    <row r="121">
      <c r="B121" s="12" t="inlineStr">
        <is>
          <t>Particulars (auto from TB tagging)</t>
        </is>
      </c>
      <c r="C121" s="12" t="inlineStr">
        <is>
          <t>Current year</t>
        </is>
      </c>
      <c r="D121" s="12" t="inlineStr">
        <is>
          <t>Previous year</t>
        </is>
      </c>
    </row>
    <row r="122">
      <c r="B122" s="11">
        <f>IFERROR(INDEX(TB!$A$6:$A$225,MATCH("LTLA#"&amp;1,TB!$H$6:$H$225,0)),"")</f>
        <v/>
      </c>
      <c r="C122" s="47">
        <f>IF(B122="","",1*(INDEX(TB!$B$6:$B$225,MATCH("LTLA#"&amp;1,TB!$H$6:$H$225,0))-INDEX(TB!$C$6:$C$225,MATCH("LTLA#"&amp;1,TB!$H$6:$H$225,0)))/RND)</f>
        <v/>
      </c>
      <c r="D122" s="47">
        <f>IF(B122="","",1*(INDEX(TB!$D$6:$D$225,MATCH("LTLA#"&amp;1,TB!$H$6:$H$225,0))-INDEX(TB!$E$6:$E$225,MATCH("LTLA#"&amp;1,TB!$H$6:$H$225,0)))/RND)</f>
        <v/>
      </c>
    </row>
    <row r="123">
      <c r="B123" s="11">
        <f>IFERROR(INDEX(TB!$A$6:$A$225,MATCH("LTLA#"&amp;2,TB!$H$6:$H$225,0)),"")</f>
        <v/>
      </c>
      <c r="C123" s="47">
        <f>IF(B123="","",1*(INDEX(TB!$B$6:$B$225,MATCH("LTLA#"&amp;2,TB!$H$6:$H$225,0))-INDEX(TB!$C$6:$C$225,MATCH("LTLA#"&amp;2,TB!$H$6:$H$225,0)))/RND)</f>
        <v/>
      </c>
      <c r="D123" s="47">
        <f>IF(B123="","",1*(INDEX(TB!$D$6:$D$225,MATCH("LTLA#"&amp;2,TB!$H$6:$H$225,0))-INDEX(TB!$E$6:$E$225,MATCH("LTLA#"&amp;2,TB!$H$6:$H$225,0)))/RND)</f>
        <v/>
      </c>
    </row>
    <row r="124">
      <c r="B124" s="11">
        <f>IFERROR(INDEX(TB!$A$6:$A$225,MATCH("LTLA#"&amp;3,TB!$H$6:$H$225,0)),"")</f>
        <v/>
      </c>
      <c r="C124" s="47">
        <f>IF(B124="","",1*(INDEX(TB!$B$6:$B$225,MATCH("LTLA#"&amp;3,TB!$H$6:$H$225,0))-INDEX(TB!$C$6:$C$225,MATCH("LTLA#"&amp;3,TB!$H$6:$H$225,0)))/RND)</f>
        <v/>
      </c>
      <c r="D124" s="47">
        <f>IF(B124="","",1*(INDEX(TB!$D$6:$D$225,MATCH("LTLA#"&amp;3,TB!$H$6:$H$225,0))-INDEX(TB!$E$6:$E$225,MATCH("LTLA#"&amp;3,TB!$H$6:$H$225,0)))/RND)</f>
        <v/>
      </c>
    </row>
    <row r="125">
      <c r="B125" s="11">
        <f>IFERROR(INDEX(TB!$A$6:$A$225,MATCH("LTLA#"&amp;4,TB!$H$6:$H$225,0)),"")</f>
        <v/>
      </c>
      <c r="C125" s="47">
        <f>IF(B125="","",1*(INDEX(TB!$B$6:$B$225,MATCH("LTLA#"&amp;4,TB!$H$6:$H$225,0))-INDEX(TB!$C$6:$C$225,MATCH("LTLA#"&amp;4,TB!$H$6:$H$225,0)))/RND)</f>
        <v/>
      </c>
      <c r="D125" s="47">
        <f>IF(B125="","",1*(INDEX(TB!$D$6:$D$225,MATCH("LTLA#"&amp;4,TB!$H$6:$H$225,0))-INDEX(TB!$E$6:$E$225,MATCH("LTLA#"&amp;4,TB!$H$6:$H$225,0)))/RND)</f>
        <v/>
      </c>
    </row>
    <row r="126">
      <c r="B126" s="11">
        <f>IFERROR(INDEX(TB!$A$6:$A$225,MATCH("LTLA#"&amp;5,TB!$H$6:$H$225,0)),"")</f>
        <v/>
      </c>
      <c r="C126" s="47">
        <f>IF(B126="","",1*(INDEX(TB!$B$6:$B$225,MATCH("LTLA#"&amp;5,TB!$H$6:$H$225,0))-INDEX(TB!$C$6:$C$225,MATCH("LTLA#"&amp;5,TB!$H$6:$H$225,0)))/RND)</f>
        <v/>
      </c>
      <c r="D126" s="47">
        <f>IF(B126="","",1*(INDEX(TB!$D$6:$D$225,MATCH("LTLA#"&amp;5,TB!$H$6:$H$225,0))-INDEX(TB!$E$6:$E$225,MATCH("LTLA#"&amp;5,TB!$H$6:$H$225,0)))/RND)</f>
        <v/>
      </c>
    </row>
    <row r="127">
      <c r="B127" s="7" t="inlineStr">
        <is>
          <t>Further ledgers tagged LTLA beyond 5 lines (combined)</t>
        </is>
      </c>
      <c r="C127" s="47">
        <f>1*Calc!$B$19/RND-SUM(C122:C126)</f>
        <v/>
      </c>
      <c r="D127" s="47">
        <f>1*Calc!$C$19/RND-SUM(D122:D126)</f>
        <v/>
      </c>
    </row>
    <row r="128">
      <c r="B128" s="14" t="inlineStr">
        <is>
          <t>Total</t>
        </is>
      </c>
      <c r="C128" s="49">
        <f>1*Calc!$B$19/RND</f>
        <v/>
      </c>
      <c r="D128" s="49">
        <f>1*Calc!$C$19/RND</f>
        <v/>
      </c>
    </row>
    <row r="129"/>
    <row r="130">
      <c r="B130" s="5" t="inlineStr">
        <is>
          <t>Note 14A - Short-term loans and advances</t>
        </is>
      </c>
    </row>
    <row r="131">
      <c r="B131" s="12" t="inlineStr">
        <is>
          <t>Particulars (auto from TB tagging)</t>
        </is>
      </c>
      <c r="C131" s="12" t="inlineStr">
        <is>
          <t>Current year</t>
        </is>
      </c>
      <c r="D131" s="12" t="inlineStr">
        <is>
          <t>Previous year</t>
        </is>
      </c>
    </row>
    <row r="132">
      <c r="B132" s="11">
        <f>IFERROR(INDEX(TB!$A$6:$A$225,MATCH("STLA#"&amp;1,TB!$H$6:$H$225,0)),"")</f>
        <v/>
      </c>
      <c r="C132" s="47">
        <f>IF(B132="","",1*(INDEX(TB!$B$6:$B$225,MATCH("STLA#"&amp;1,TB!$H$6:$H$225,0))-INDEX(TB!$C$6:$C$225,MATCH("STLA#"&amp;1,TB!$H$6:$H$225,0)))/RND)</f>
        <v/>
      </c>
      <c r="D132" s="47">
        <f>IF(B132="","",1*(INDEX(TB!$D$6:$D$225,MATCH("STLA#"&amp;1,TB!$H$6:$H$225,0))-INDEX(TB!$E$6:$E$225,MATCH("STLA#"&amp;1,TB!$H$6:$H$225,0)))/RND)</f>
        <v/>
      </c>
    </row>
    <row r="133">
      <c r="B133" s="11">
        <f>IFERROR(INDEX(TB!$A$6:$A$225,MATCH("STLA#"&amp;2,TB!$H$6:$H$225,0)),"")</f>
        <v/>
      </c>
      <c r="C133" s="47">
        <f>IF(B133="","",1*(INDEX(TB!$B$6:$B$225,MATCH("STLA#"&amp;2,TB!$H$6:$H$225,0))-INDEX(TB!$C$6:$C$225,MATCH("STLA#"&amp;2,TB!$H$6:$H$225,0)))/RND)</f>
        <v/>
      </c>
      <c r="D133" s="47">
        <f>IF(B133="","",1*(INDEX(TB!$D$6:$D$225,MATCH("STLA#"&amp;2,TB!$H$6:$H$225,0))-INDEX(TB!$E$6:$E$225,MATCH("STLA#"&amp;2,TB!$H$6:$H$225,0)))/RND)</f>
        <v/>
      </c>
    </row>
    <row r="134">
      <c r="B134" s="11">
        <f>IFERROR(INDEX(TB!$A$6:$A$225,MATCH("STLA#"&amp;3,TB!$H$6:$H$225,0)),"")</f>
        <v/>
      </c>
      <c r="C134" s="47">
        <f>IF(B134="","",1*(INDEX(TB!$B$6:$B$225,MATCH("STLA#"&amp;3,TB!$H$6:$H$225,0))-INDEX(TB!$C$6:$C$225,MATCH("STLA#"&amp;3,TB!$H$6:$H$225,0)))/RND)</f>
        <v/>
      </c>
      <c r="D134" s="47">
        <f>IF(B134="","",1*(INDEX(TB!$D$6:$D$225,MATCH("STLA#"&amp;3,TB!$H$6:$H$225,0))-INDEX(TB!$E$6:$E$225,MATCH("STLA#"&amp;3,TB!$H$6:$H$225,0)))/RND)</f>
        <v/>
      </c>
    </row>
    <row r="135">
      <c r="B135" s="11">
        <f>IFERROR(INDEX(TB!$A$6:$A$225,MATCH("STLA#"&amp;4,TB!$H$6:$H$225,0)),"")</f>
        <v/>
      </c>
      <c r="C135" s="47">
        <f>IF(B135="","",1*(INDEX(TB!$B$6:$B$225,MATCH("STLA#"&amp;4,TB!$H$6:$H$225,0))-INDEX(TB!$C$6:$C$225,MATCH("STLA#"&amp;4,TB!$H$6:$H$225,0)))/RND)</f>
        <v/>
      </c>
      <c r="D135" s="47">
        <f>IF(B135="","",1*(INDEX(TB!$D$6:$D$225,MATCH("STLA#"&amp;4,TB!$H$6:$H$225,0))-INDEX(TB!$E$6:$E$225,MATCH("STLA#"&amp;4,TB!$H$6:$H$225,0)))/RND)</f>
        <v/>
      </c>
    </row>
    <row r="136">
      <c r="B136" s="11">
        <f>IFERROR(INDEX(TB!$A$6:$A$225,MATCH("STLA#"&amp;5,TB!$H$6:$H$225,0)),"")</f>
        <v/>
      </c>
      <c r="C136" s="47">
        <f>IF(B136="","",1*(INDEX(TB!$B$6:$B$225,MATCH("STLA#"&amp;5,TB!$H$6:$H$225,0))-INDEX(TB!$C$6:$C$225,MATCH("STLA#"&amp;5,TB!$H$6:$H$225,0)))/RND)</f>
        <v/>
      </c>
      <c r="D136" s="47">
        <f>IF(B136="","",1*(INDEX(TB!$D$6:$D$225,MATCH("STLA#"&amp;5,TB!$H$6:$H$225,0))-INDEX(TB!$E$6:$E$225,MATCH("STLA#"&amp;5,TB!$H$6:$H$225,0)))/RND)</f>
        <v/>
      </c>
    </row>
    <row r="137">
      <c r="B137" s="11">
        <f>IFERROR(INDEX(TB!$A$6:$A$225,MATCH("STLA#"&amp;6,TB!$H$6:$H$225,0)),"")</f>
        <v/>
      </c>
      <c r="C137" s="47">
        <f>IF(B137="","",1*(INDEX(TB!$B$6:$B$225,MATCH("STLA#"&amp;6,TB!$H$6:$H$225,0))-INDEX(TB!$C$6:$C$225,MATCH("STLA#"&amp;6,TB!$H$6:$H$225,0)))/RND)</f>
        <v/>
      </c>
      <c r="D137" s="47">
        <f>IF(B137="","",1*(INDEX(TB!$D$6:$D$225,MATCH("STLA#"&amp;6,TB!$H$6:$H$225,0))-INDEX(TB!$E$6:$E$225,MATCH("STLA#"&amp;6,TB!$H$6:$H$225,0)))/RND)</f>
        <v/>
      </c>
    </row>
    <row r="138">
      <c r="B138" s="7" t="inlineStr">
        <is>
          <t>Further ledgers tagged STLA beyond 6 lines (combined)</t>
        </is>
      </c>
      <c r="C138" s="47">
        <f>1*Calc!$B$25/RND-SUM(C132:C137)</f>
        <v/>
      </c>
      <c r="D138" s="47">
        <f>1*Calc!$C$25/RND-SUM(D132:D137)</f>
        <v/>
      </c>
    </row>
    <row r="139">
      <c r="B139" s="14" t="inlineStr">
        <is>
          <t>Total</t>
        </is>
      </c>
      <c r="C139" s="49">
        <f>1*Calc!$B$25/RND</f>
        <v/>
      </c>
      <c r="D139" s="49">
        <f>1*Calc!$C$25/RND</f>
        <v/>
      </c>
    </row>
    <row r="140"/>
    <row r="141">
      <c r="B141" s="5" t="inlineStr">
        <is>
          <t>Note 14B - Other current assets</t>
        </is>
      </c>
    </row>
    <row r="142">
      <c r="B142" s="12" t="inlineStr">
        <is>
          <t>Particulars (auto from TB tagging)</t>
        </is>
      </c>
      <c r="C142" s="12" t="inlineStr">
        <is>
          <t>Current year</t>
        </is>
      </c>
      <c r="D142" s="12" t="inlineStr">
        <is>
          <t>Previous year</t>
        </is>
      </c>
    </row>
    <row r="143">
      <c r="B143" s="11">
        <f>IFERROR(INDEX(TB!$A$6:$A$225,MATCH("OCA#"&amp;1,TB!$H$6:$H$225,0)),"")</f>
        <v/>
      </c>
      <c r="C143" s="47">
        <f>IF(B143="","",1*(INDEX(TB!$B$6:$B$225,MATCH("OCA#"&amp;1,TB!$H$6:$H$225,0))-INDEX(TB!$C$6:$C$225,MATCH("OCA#"&amp;1,TB!$H$6:$H$225,0)))/RND)</f>
        <v/>
      </c>
      <c r="D143" s="47">
        <f>IF(B143="","",1*(INDEX(TB!$D$6:$D$225,MATCH("OCA#"&amp;1,TB!$H$6:$H$225,0))-INDEX(TB!$E$6:$E$225,MATCH("OCA#"&amp;1,TB!$H$6:$H$225,0)))/RND)</f>
        <v/>
      </c>
    </row>
    <row r="144">
      <c r="B144" s="11">
        <f>IFERROR(INDEX(TB!$A$6:$A$225,MATCH("OCA#"&amp;2,TB!$H$6:$H$225,0)),"")</f>
        <v/>
      </c>
      <c r="C144" s="47">
        <f>IF(B144="","",1*(INDEX(TB!$B$6:$B$225,MATCH("OCA#"&amp;2,TB!$H$6:$H$225,0))-INDEX(TB!$C$6:$C$225,MATCH("OCA#"&amp;2,TB!$H$6:$H$225,0)))/RND)</f>
        <v/>
      </c>
      <c r="D144" s="47">
        <f>IF(B144="","",1*(INDEX(TB!$D$6:$D$225,MATCH("OCA#"&amp;2,TB!$H$6:$H$225,0))-INDEX(TB!$E$6:$E$225,MATCH("OCA#"&amp;2,TB!$H$6:$H$225,0)))/RND)</f>
        <v/>
      </c>
    </row>
    <row r="145">
      <c r="B145" s="11">
        <f>IFERROR(INDEX(TB!$A$6:$A$225,MATCH("OCA#"&amp;3,TB!$H$6:$H$225,0)),"")</f>
        <v/>
      </c>
      <c r="C145" s="47">
        <f>IF(B145="","",1*(INDEX(TB!$B$6:$B$225,MATCH("OCA#"&amp;3,TB!$H$6:$H$225,0))-INDEX(TB!$C$6:$C$225,MATCH("OCA#"&amp;3,TB!$H$6:$H$225,0)))/RND)</f>
        <v/>
      </c>
      <c r="D145" s="47">
        <f>IF(B145="","",1*(INDEX(TB!$D$6:$D$225,MATCH("OCA#"&amp;3,TB!$H$6:$H$225,0))-INDEX(TB!$E$6:$E$225,MATCH("OCA#"&amp;3,TB!$H$6:$H$225,0)))/RND)</f>
        <v/>
      </c>
    </row>
    <row r="146">
      <c r="B146" s="11">
        <f>IFERROR(INDEX(TB!$A$6:$A$225,MATCH("OCA#"&amp;4,TB!$H$6:$H$225,0)),"")</f>
        <v/>
      </c>
      <c r="C146" s="47">
        <f>IF(B146="","",1*(INDEX(TB!$B$6:$B$225,MATCH("OCA#"&amp;4,TB!$H$6:$H$225,0))-INDEX(TB!$C$6:$C$225,MATCH("OCA#"&amp;4,TB!$H$6:$H$225,0)))/RND)</f>
        <v/>
      </c>
      <c r="D146" s="47">
        <f>IF(B146="","",1*(INDEX(TB!$D$6:$D$225,MATCH("OCA#"&amp;4,TB!$H$6:$H$225,0))-INDEX(TB!$E$6:$E$225,MATCH("OCA#"&amp;4,TB!$H$6:$H$225,0)))/RND)</f>
        <v/>
      </c>
    </row>
    <row r="147">
      <c r="B147" s="11">
        <f>IFERROR(INDEX(TB!$A$6:$A$225,MATCH("OCA#"&amp;5,TB!$H$6:$H$225,0)),"")</f>
        <v/>
      </c>
      <c r="C147" s="47">
        <f>IF(B147="","",1*(INDEX(TB!$B$6:$B$225,MATCH("OCA#"&amp;5,TB!$H$6:$H$225,0))-INDEX(TB!$C$6:$C$225,MATCH("OCA#"&amp;5,TB!$H$6:$H$225,0)))/RND)</f>
        <v/>
      </c>
      <c r="D147" s="47">
        <f>IF(B147="","",1*(INDEX(TB!$D$6:$D$225,MATCH("OCA#"&amp;5,TB!$H$6:$H$225,0))-INDEX(TB!$E$6:$E$225,MATCH("OCA#"&amp;5,TB!$H$6:$H$225,0)))/RND)</f>
        <v/>
      </c>
    </row>
    <row r="148">
      <c r="B148" s="7" t="inlineStr">
        <is>
          <t>Further ledgers tagged OCA beyond 5 lines (combined)</t>
        </is>
      </c>
      <c r="C148" s="47">
        <f>1*Calc!$B$26/RND-SUM(C143:C147)</f>
        <v/>
      </c>
      <c r="D148" s="47">
        <f>1*Calc!$C$26/RND-SUM(D143:D147)</f>
        <v/>
      </c>
    </row>
    <row r="149">
      <c r="B149" s="14" t="inlineStr">
        <is>
          <t>Total</t>
        </is>
      </c>
      <c r="C149" s="49">
        <f>1*Calc!$B$26/RND</f>
        <v/>
      </c>
      <c r="D149" s="49">
        <f>1*Calc!$C$26/RND</f>
        <v/>
      </c>
    </row>
    <row r="150"/>
    <row r="151">
      <c r="B151" s="5" t="inlineStr">
        <is>
          <t>Note 15 - Inventories</t>
        </is>
      </c>
    </row>
    <row r="152">
      <c r="B152" s="12" t="inlineStr">
        <is>
          <t>Particulars (auto from TB tagging)</t>
        </is>
      </c>
      <c r="C152" s="12" t="inlineStr">
        <is>
          <t>Current year</t>
        </is>
      </c>
      <c r="D152" s="12" t="inlineStr">
        <is>
          <t>Previous year</t>
        </is>
      </c>
    </row>
    <row r="153">
      <c r="B153" s="11">
        <f>IFERROR(INDEX(TB!$A$6:$A$225,MATCH("INVTY#"&amp;1,TB!$H$6:$H$225,0)),"")</f>
        <v/>
      </c>
      <c r="C153" s="47">
        <f>IF(B153="","",1*(INDEX(TB!$B$6:$B$225,MATCH("INVTY#"&amp;1,TB!$H$6:$H$225,0))-INDEX(TB!$C$6:$C$225,MATCH("INVTY#"&amp;1,TB!$H$6:$H$225,0)))/RND)</f>
        <v/>
      </c>
      <c r="D153" s="47">
        <f>IF(B153="","",1*(INDEX(TB!$D$6:$D$225,MATCH("INVTY#"&amp;1,TB!$H$6:$H$225,0))-INDEX(TB!$E$6:$E$225,MATCH("INVTY#"&amp;1,TB!$H$6:$H$225,0)))/RND)</f>
        <v/>
      </c>
    </row>
    <row r="154">
      <c r="B154" s="11">
        <f>IFERROR(INDEX(TB!$A$6:$A$225,MATCH("INVTY#"&amp;2,TB!$H$6:$H$225,0)),"")</f>
        <v/>
      </c>
      <c r="C154" s="47">
        <f>IF(B154="","",1*(INDEX(TB!$B$6:$B$225,MATCH("INVTY#"&amp;2,TB!$H$6:$H$225,0))-INDEX(TB!$C$6:$C$225,MATCH("INVTY#"&amp;2,TB!$H$6:$H$225,0)))/RND)</f>
        <v/>
      </c>
      <c r="D154" s="47">
        <f>IF(B154="","",1*(INDEX(TB!$D$6:$D$225,MATCH("INVTY#"&amp;2,TB!$H$6:$H$225,0))-INDEX(TB!$E$6:$E$225,MATCH("INVTY#"&amp;2,TB!$H$6:$H$225,0)))/RND)</f>
        <v/>
      </c>
    </row>
    <row r="155">
      <c r="B155" s="11">
        <f>IFERROR(INDEX(TB!$A$6:$A$225,MATCH("INVTY#"&amp;3,TB!$H$6:$H$225,0)),"")</f>
        <v/>
      </c>
      <c r="C155" s="47">
        <f>IF(B155="","",1*(INDEX(TB!$B$6:$B$225,MATCH("INVTY#"&amp;3,TB!$H$6:$H$225,0))-INDEX(TB!$C$6:$C$225,MATCH("INVTY#"&amp;3,TB!$H$6:$H$225,0)))/RND)</f>
        <v/>
      </c>
      <c r="D155" s="47">
        <f>IF(B155="","",1*(INDEX(TB!$D$6:$D$225,MATCH("INVTY#"&amp;3,TB!$H$6:$H$225,0))-INDEX(TB!$E$6:$E$225,MATCH("INVTY#"&amp;3,TB!$H$6:$H$225,0)))/RND)</f>
        <v/>
      </c>
    </row>
    <row r="156">
      <c r="B156" s="11">
        <f>IFERROR(INDEX(TB!$A$6:$A$225,MATCH("INVTY#"&amp;4,TB!$H$6:$H$225,0)),"")</f>
        <v/>
      </c>
      <c r="C156" s="47">
        <f>IF(B156="","",1*(INDEX(TB!$B$6:$B$225,MATCH("INVTY#"&amp;4,TB!$H$6:$H$225,0))-INDEX(TB!$C$6:$C$225,MATCH("INVTY#"&amp;4,TB!$H$6:$H$225,0)))/RND)</f>
        <v/>
      </c>
      <c r="D156" s="47">
        <f>IF(B156="","",1*(INDEX(TB!$D$6:$D$225,MATCH("INVTY#"&amp;4,TB!$H$6:$H$225,0))-INDEX(TB!$E$6:$E$225,MATCH("INVTY#"&amp;4,TB!$H$6:$H$225,0)))/RND)</f>
        <v/>
      </c>
    </row>
    <row r="157">
      <c r="B157" s="11">
        <f>IFERROR(INDEX(TB!$A$6:$A$225,MATCH("INVTY#"&amp;5,TB!$H$6:$H$225,0)),"")</f>
        <v/>
      </c>
      <c r="C157" s="47">
        <f>IF(B157="","",1*(INDEX(TB!$B$6:$B$225,MATCH("INVTY#"&amp;5,TB!$H$6:$H$225,0))-INDEX(TB!$C$6:$C$225,MATCH("INVTY#"&amp;5,TB!$H$6:$H$225,0)))/RND)</f>
        <v/>
      </c>
      <c r="D157" s="47">
        <f>IF(B157="","",1*(INDEX(TB!$D$6:$D$225,MATCH("INVTY#"&amp;5,TB!$H$6:$H$225,0))-INDEX(TB!$E$6:$E$225,MATCH("INVTY#"&amp;5,TB!$H$6:$H$225,0)))/RND)</f>
        <v/>
      </c>
    </row>
    <row r="158">
      <c r="B158" s="11">
        <f>IFERROR(INDEX(TB!$A$6:$A$225,MATCH("INVTY#"&amp;6,TB!$H$6:$H$225,0)),"")</f>
        <v/>
      </c>
      <c r="C158" s="47">
        <f>IF(B158="","",1*(INDEX(TB!$B$6:$B$225,MATCH("INVTY#"&amp;6,TB!$H$6:$H$225,0))-INDEX(TB!$C$6:$C$225,MATCH("INVTY#"&amp;6,TB!$H$6:$H$225,0)))/RND)</f>
        <v/>
      </c>
      <c r="D158" s="47">
        <f>IF(B158="","",1*(INDEX(TB!$D$6:$D$225,MATCH("INVTY#"&amp;6,TB!$H$6:$H$225,0))-INDEX(TB!$E$6:$E$225,MATCH("INVTY#"&amp;6,TB!$H$6:$H$225,0)))/RND)</f>
        <v/>
      </c>
    </row>
    <row r="159">
      <c r="B159" s="7" t="inlineStr">
        <is>
          <t>Further ledgers tagged INVTY beyond 6 lines (combined)</t>
        </is>
      </c>
      <c r="C159" s="47">
        <f>1*Calc!$B$22/RND-SUM(C153:C158)</f>
        <v/>
      </c>
      <c r="D159" s="47">
        <f>1*Calc!$C$22/RND-SUM(D153:D158)</f>
        <v/>
      </c>
    </row>
    <row r="160">
      <c r="B160" s="14" t="inlineStr">
        <is>
          <t>Total</t>
        </is>
      </c>
      <c r="C160" s="49">
        <f>1*Calc!$B$22/RND</f>
        <v/>
      </c>
      <c r="D160" s="49">
        <f>1*Calc!$C$22/RND</f>
        <v/>
      </c>
    </row>
    <row r="161"/>
    <row r="162">
      <c r="B162" s="5" t="inlineStr">
        <is>
          <t>Note 16 - Trade receivables: ageing per the Ageing sheet.</t>
        </is>
      </c>
    </row>
    <row r="163"/>
    <row r="164">
      <c r="B164" s="5" t="inlineStr">
        <is>
          <t>Note 17 - Cash and cash equivalents</t>
        </is>
      </c>
    </row>
    <row r="165">
      <c r="B165" s="12" t="inlineStr">
        <is>
          <t>Particulars (auto from TB tagging)</t>
        </is>
      </c>
      <c r="C165" s="12" t="inlineStr">
        <is>
          <t>Current year</t>
        </is>
      </c>
      <c r="D165" s="12" t="inlineStr">
        <is>
          <t>Previous year</t>
        </is>
      </c>
    </row>
    <row r="166">
      <c r="B166" s="11">
        <f>IFERROR(INDEX(TB!$A$6:$A$225,MATCH("CASH#"&amp;1,TB!$H$6:$H$225,0)),"")</f>
        <v/>
      </c>
      <c r="C166" s="47">
        <f>IF(B166="","",1*(INDEX(TB!$B$6:$B$225,MATCH("CASH#"&amp;1,TB!$H$6:$H$225,0))-INDEX(TB!$C$6:$C$225,MATCH("CASH#"&amp;1,TB!$H$6:$H$225,0)))/RND)</f>
        <v/>
      </c>
      <c r="D166" s="47">
        <f>IF(B166="","",1*(INDEX(TB!$D$6:$D$225,MATCH("CASH#"&amp;1,TB!$H$6:$H$225,0))-INDEX(TB!$E$6:$E$225,MATCH("CASH#"&amp;1,TB!$H$6:$H$225,0)))/RND)</f>
        <v/>
      </c>
    </row>
    <row r="167">
      <c r="B167" s="11">
        <f>IFERROR(INDEX(TB!$A$6:$A$225,MATCH("CASH#"&amp;2,TB!$H$6:$H$225,0)),"")</f>
        <v/>
      </c>
      <c r="C167" s="47">
        <f>IF(B167="","",1*(INDEX(TB!$B$6:$B$225,MATCH("CASH#"&amp;2,TB!$H$6:$H$225,0))-INDEX(TB!$C$6:$C$225,MATCH("CASH#"&amp;2,TB!$H$6:$H$225,0)))/RND)</f>
        <v/>
      </c>
      <c r="D167" s="47">
        <f>IF(B167="","",1*(INDEX(TB!$D$6:$D$225,MATCH("CASH#"&amp;2,TB!$H$6:$H$225,0))-INDEX(TB!$E$6:$E$225,MATCH("CASH#"&amp;2,TB!$H$6:$H$225,0)))/RND)</f>
        <v/>
      </c>
    </row>
    <row r="168">
      <c r="B168" s="11">
        <f>IFERROR(INDEX(TB!$A$6:$A$225,MATCH("CASH#"&amp;3,TB!$H$6:$H$225,0)),"")</f>
        <v/>
      </c>
      <c r="C168" s="47">
        <f>IF(B168="","",1*(INDEX(TB!$B$6:$B$225,MATCH("CASH#"&amp;3,TB!$H$6:$H$225,0))-INDEX(TB!$C$6:$C$225,MATCH("CASH#"&amp;3,TB!$H$6:$H$225,0)))/RND)</f>
        <v/>
      </c>
      <c r="D168" s="47">
        <f>IF(B168="","",1*(INDEX(TB!$D$6:$D$225,MATCH("CASH#"&amp;3,TB!$H$6:$H$225,0))-INDEX(TB!$E$6:$E$225,MATCH("CASH#"&amp;3,TB!$H$6:$H$225,0)))/RND)</f>
        <v/>
      </c>
    </row>
    <row r="169">
      <c r="B169" s="11">
        <f>IFERROR(INDEX(TB!$A$6:$A$225,MATCH("CASH#"&amp;4,TB!$H$6:$H$225,0)),"")</f>
        <v/>
      </c>
      <c r="C169" s="47">
        <f>IF(B169="","",1*(INDEX(TB!$B$6:$B$225,MATCH("CASH#"&amp;4,TB!$H$6:$H$225,0))-INDEX(TB!$C$6:$C$225,MATCH("CASH#"&amp;4,TB!$H$6:$H$225,0)))/RND)</f>
        <v/>
      </c>
      <c r="D169" s="47">
        <f>IF(B169="","",1*(INDEX(TB!$D$6:$D$225,MATCH("CASH#"&amp;4,TB!$H$6:$H$225,0))-INDEX(TB!$E$6:$E$225,MATCH("CASH#"&amp;4,TB!$H$6:$H$225,0)))/RND)</f>
        <v/>
      </c>
    </row>
    <row r="170">
      <c r="B170" s="11">
        <f>IFERROR(INDEX(TB!$A$6:$A$225,MATCH("CASH#"&amp;5,TB!$H$6:$H$225,0)),"")</f>
        <v/>
      </c>
      <c r="C170" s="47">
        <f>IF(B170="","",1*(INDEX(TB!$B$6:$B$225,MATCH("CASH#"&amp;5,TB!$H$6:$H$225,0))-INDEX(TB!$C$6:$C$225,MATCH("CASH#"&amp;5,TB!$H$6:$H$225,0)))/RND)</f>
        <v/>
      </c>
      <c r="D170" s="47">
        <f>IF(B170="","",1*(INDEX(TB!$D$6:$D$225,MATCH("CASH#"&amp;5,TB!$H$6:$H$225,0))-INDEX(TB!$E$6:$E$225,MATCH("CASH#"&amp;5,TB!$H$6:$H$225,0)))/RND)</f>
        <v/>
      </c>
    </row>
    <row r="171">
      <c r="B171" s="11">
        <f>IFERROR(INDEX(TB!$A$6:$A$225,MATCH("CASH#"&amp;6,TB!$H$6:$H$225,0)),"")</f>
        <v/>
      </c>
      <c r="C171" s="47">
        <f>IF(B171="","",1*(INDEX(TB!$B$6:$B$225,MATCH("CASH#"&amp;6,TB!$H$6:$H$225,0))-INDEX(TB!$C$6:$C$225,MATCH("CASH#"&amp;6,TB!$H$6:$H$225,0)))/RND)</f>
        <v/>
      </c>
      <c r="D171" s="47">
        <f>IF(B171="","",1*(INDEX(TB!$D$6:$D$225,MATCH("CASH#"&amp;6,TB!$H$6:$H$225,0))-INDEX(TB!$E$6:$E$225,MATCH("CASH#"&amp;6,TB!$H$6:$H$225,0)))/RND)</f>
        <v/>
      </c>
    </row>
    <row r="172">
      <c r="B172" s="7" t="inlineStr">
        <is>
          <t>Further ledgers tagged CASH beyond 6 lines (combined)</t>
        </is>
      </c>
      <c r="C172" s="47">
        <f>1*Calc!$B$24/RND-SUM(C166:C171)</f>
        <v/>
      </c>
      <c r="D172" s="47">
        <f>1*Calc!$C$24/RND-SUM(D166:D171)</f>
        <v/>
      </c>
    </row>
    <row r="173">
      <c r="B173" s="14" t="inlineStr">
        <is>
          <t>Total</t>
        </is>
      </c>
      <c r="C173" s="49">
        <f>1*Calc!$B$24/RND</f>
        <v/>
      </c>
      <c r="D173" s="49">
        <f>1*Calc!$C$24/RND</f>
        <v/>
      </c>
    </row>
    <row r="174"/>
    <row r="175">
      <c r="B175" s="5" t="inlineStr">
        <is>
          <t>Note 25 - Contingent liabilities and commitments (Rs)</t>
        </is>
      </c>
    </row>
    <row r="176">
      <c r="B176" s="4" t="inlineStr">
        <is>
          <t>Claims against the company not acknowledged as debts</t>
        </is>
      </c>
      <c r="C176" s="42" t="n">
        <v>0</v>
      </c>
    </row>
    <row r="177">
      <c r="B177" s="4" t="inlineStr">
        <is>
          <t>Guarantees given</t>
        </is>
      </c>
      <c r="C177" s="42" t="n">
        <v>0</v>
      </c>
    </row>
    <row r="178">
      <c r="B178" s="4" t="inlineStr">
        <is>
          <t>Capital commitments (net of advances)</t>
        </is>
      </c>
      <c r="C178" s="42" t="n">
        <v>0</v>
      </c>
    </row>
    <row r="179"/>
    <row r="180">
      <c r="B180" s="7" t="inlineStr">
        <is>
          <t>Note 26 - Ratios: see the Ratios sheet. Regulatory information: see RegDisclosures.</t>
        </is>
      </c>
    </row>
  </sheetData>
  <sheetProtection selectLockedCells="0" selectUnlockedCells="0" sheet="1" objects="0" insertRows="0" insertHyperlinks="1" autoFilter="0" scenarios="0" formatColumns="0" deleteColumns="1" insertColumns="1" pivotTables="1" deleteRows="0" formatCells="1" formatRows="0" sort="0" password="BBBC"/>
  <pageMargins left="0.75" right="0.75" top="1" bottom="1" header="0.5" footer="0.5"/>
</worksheet>
</file>

<file path=xl/worksheets/sheet15.xml><?xml version="1.0" encoding="utf-8"?>
<worksheet xmlns="http://schemas.openxmlformats.org/spreadsheetml/2006/main">
  <sheetPr>
    <tabColor rgb="005A6672"/>
    <outlinePr summaryBelow="1" summaryRight="1"/>
    <pageSetUpPr/>
  </sheetPr>
  <dimension ref="A1:D96"/>
  <sheetViews>
    <sheetView showGridLines="0" workbookViewId="0">
      <selection activeCell="A1" sqref="A1"/>
    </sheetView>
  </sheetViews>
  <sheetFormatPr baseColWidth="8" defaultRowHeight="15"/>
  <cols>
    <col width="3" customWidth="1" min="1" max="1"/>
    <col width="54" customWidth="1" min="2" max="2"/>
    <col width="16" customWidth="1" min="3" max="3"/>
    <col width="16" customWidth="1" min="4" max="4"/>
    <col width="30" customWidth="1" min="5" max="5"/>
  </cols>
  <sheetData>
    <row r="1"/>
    <row r="2">
      <c r="B2" s="3" t="inlineStr">
        <is>
          <t>Notes to the Statement of Profit and Loss (amounts in rounding units)</t>
        </is>
      </c>
    </row>
    <row r="3">
      <c r="B3" s="7" t="inlineStr">
        <is>
          <t>Each note lists the TB ledgers tagged to its map code - tag Consulting charges, ROC fees, Business promotion etc. as separate OTHEXP rows in the TB and Note 23 shows them line by line automatically.</t>
        </is>
      </c>
    </row>
    <row r="4"/>
    <row r="5">
      <c r="B5" s="5" t="inlineStr">
        <is>
          <t>Note 18 - Revenue from operations</t>
        </is>
      </c>
    </row>
    <row r="6">
      <c r="B6" s="12" t="inlineStr">
        <is>
          <t>Particulars (auto from TB tagging)</t>
        </is>
      </c>
      <c r="C6" s="12" t="inlineStr">
        <is>
          <t>Current year</t>
        </is>
      </c>
      <c r="D6" s="12" t="inlineStr">
        <is>
          <t>Previous year</t>
        </is>
      </c>
    </row>
    <row r="7">
      <c r="B7" s="11">
        <f>IFERROR(INDEX(TB!$A$6:$A$225,MATCH("REV#"&amp;1,TB!$H$6:$H$225,0)),"")</f>
        <v/>
      </c>
      <c r="C7" s="47">
        <f>IF(B7="","",-1*(INDEX(TB!$B$6:$B$225,MATCH("REV#"&amp;1,TB!$H$6:$H$225,0))-INDEX(TB!$C$6:$C$225,MATCH("REV#"&amp;1,TB!$H$6:$H$225,0)))/RND)</f>
        <v/>
      </c>
      <c r="D7" s="47">
        <f>IF(B7="","",-1*(INDEX(TB!$D$6:$D$225,MATCH("REV#"&amp;1,TB!$H$6:$H$225,0))-INDEX(TB!$E$6:$E$225,MATCH("REV#"&amp;1,TB!$H$6:$H$225,0)))/RND)</f>
        <v/>
      </c>
    </row>
    <row r="8">
      <c r="B8" s="11">
        <f>IFERROR(INDEX(TB!$A$6:$A$225,MATCH("REV#"&amp;2,TB!$H$6:$H$225,0)),"")</f>
        <v/>
      </c>
      <c r="C8" s="47">
        <f>IF(B8="","",-1*(INDEX(TB!$B$6:$B$225,MATCH("REV#"&amp;2,TB!$H$6:$H$225,0))-INDEX(TB!$C$6:$C$225,MATCH("REV#"&amp;2,TB!$H$6:$H$225,0)))/RND)</f>
        <v/>
      </c>
      <c r="D8" s="47">
        <f>IF(B8="","",-1*(INDEX(TB!$D$6:$D$225,MATCH("REV#"&amp;2,TB!$H$6:$H$225,0))-INDEX(TB!$E$6:$E$225,MATCH("REV#"&amp;2,TB!$H$6:$H$225,0)))/RND)</f>
        <v/>
      </c>
    </row>
    <row r="9">
      <c r="B9" s="11">
        <f>IFERROR(INDEX(TB!$A$6:$A$225,MATCH("REV#"&amp;3,TB!$H$6:$H$225,0)),"")</f>
        <v/>
      </c>
      <c r="C9" s="47">
        <f>IF(B9="","",-1*(INDEX(TB!$B$6:$B$225,MATCH("REV#"&amp;3,TB!$H$6:$H$225,0))-INDEX(TB!$C$6:$C$225,MATCH("REV#"&amp;3,TB!$H$6:$H$225,0)))/RND)</f>
        <v/>
      </c>
      <c r="D9" s="47">
        <f>IF(B9="","",-1*(INDEX(TB!$D$6:$D$225,MATCH("REV#"&amp;3,TB!$H$6:$H$225,0))-INDEX(TB!$E$6:$E$225,MATCH("REV#"&amp;3,TB!$H$6:$H$225,0)))/RND)</f>
        <v/>
      </c>
    </row>
    <row r="10">
      <c r="B10" s="11">
        <f>IFERROR(INDEX(TB!$A$6:$A$225,MATCH("REV#"&amp;4,TB!$H$6:$H$225,0)),"")</f>
        <v/>
      </c>
      <c r="C10" s="47">
        <f>IF(B10="","",-1*(INDEX(TB!$B$6:$B$225,MATCH("REV#"&amp;4,TB!$H$6:$H$225,0))-INDEX(TB!$C$6:$C$225,MATCH("REV#"&amp;4,TB!$H$6:$H$225,0)))/RND)</f>
        <v/>
      </c>
      <c r="D10" s="47">
        <f>IF(B10="","",-1*(INDEX(TB!$D$6:$D$225,MATCH("REV#"&amp;4,TB!$H$6:$H$225,0))-INDEX(TB!$E$6:$E$225,MATCH("REV#"&amp;4,TB!$H$6:$H$225,0)))/RND)</f>
        <v/>
      </c>
    </row>
    <row r="11">
      <c r="B11" s="11">
        <f>IFERROR(INDEX(TB!$A$6:$A$225,MATCH("REV#"&amp;5,TB!$H$6:$H$225,0)),"")</f>
        <v/>
      </c>
      <c r="C11" s="47">
        <f>IF(B11="","",-1*(INDEX(TB!$B$6:$B$225,MATCH("REV#"&amp;5,TB!$H$6:$H$225,0))-INDEX(TB!$C$6:$C$225,MATCH("REV#"&amp;5,TB!$H$6:$H$225,0)))/RND)</f>
        <v/>
      </c>
      <c r="D11" s="47">
        <f>IF(B11="","",-1*(INDEX(TB!$D$6:$D$225,MATCH("REV#"&amp;5,TB!$H$6:$H$225,0))-INDEX(TB!$E$6:$E$225,MATCH("REV#"&amp;5,TB!$H$6:$H$225,0)))/RND)</f>
        <v/>
      </c>
    </row>
    <row r="12">
      <c r="B12" s="11">
        <f>IFERROR(INDEX(TB!$A$6:$A$225,MATCH("REV#"&amp;6,TB!$H$6:$H$225,0)),"")</f>
        <v/>
      </c>
      <c r="C12" s="47">
        <f>IF(B12="","",-1*(INDEX(TB!$B$6:$B$225,MATCH("REV#"&amp;6,TB!$H$6:$H$225,0))-INDEX(TB!$C$6:$C$225,MATCH("REV#"&amp;6,TB!$H$6:$H$225,0)))/RND)</f>
        <v/>
      </c>
      <c r="D12" s="47">
        <f>IF(B12="","",-1*(INDEX(TB!$D$6:$D$225,MATCH("REV#"&amp;6,TB!$H$6:$H$225,0))-INDEX(TB!$E$6:$E$225,MATCH("REV#"&amp;6,TB!$H$6:$H$225,0)))/RND)</f>
        <v/>
      </c>
    </row>
    <row r="13">
      <c r="B13" s="11">
        <f>IFERROR(INDEX(TB!$A$6:$A$225,MATCH("REV#"&amp;7,TB!$H$6:$H$225,0)),"")</f>
        <v/>
      </c>
      <c r="C13" s="47">
        <f>IF(B13="","",-1*(INDEX(TB!$B$6:$B$225,MATCH("REV#"&amp;7,TB!$H$6:$H$225,0))-INDEX(TB!$C$6:$C$225,MATCH("REV#"&amp;7,TB!$H$6:$H$225,0)))/RND)</f>
        <v/>
      </c>
      <c r="D13" s="47">
        <f>IF(B13="","",-1*(INDEX(TB!$D$6:$D$225,MATCH("REV#"&amp;7,TB!$H$6:$H$225,0))-INDEX(TB!$E$6:$E$225,MATCH("REV#"&amp;7,TB!$H$6:$H$225,0)))/RND)</f>
        <v/>
      </c>
    </row>
    <row r="14">
      <c r="B14" s="11">
        <f>IFERROR(INDEX(TB!$A$6:$A$225,MATCH("REV#"&amp;8,TB!$H$6:$H$225,0)),"")</f>
        <v/>
      </c>
      <c r="C14" s="47">
        <f>IF(B14="","",-1*(INDEX(TB!$B$6:$B$225,MATCH("REV#"&amp;8,TB!$H$6:$H$225,0))-INDEX(TB!$C$6:$C$225,MATCH("REV#"&amp;8,TB!$H$6:$H$225,0)))/RND)</f>
        <v/>
      </c>
      <c r="D14" s="47">
        <f>IF(B14="","",-1*(INDEX(TB!$D$6:$D$225,MATCH("REV#"&amp;8,TB!$H$6:$H$225,0))-INDEX(TB!$E$6:$E$225,MATCH("REV#"&amp;8,TB!$H$6:$H$225,0)))/RND)</f>
        <v/>
      </c>
    </row>
    <row r="15">
      <c r="B15" s="7" t="inlineStr">
        <is>
          <t>Further ledgers tagged REV beyond 8 lines (combined)</t>
        </is>
      </c>
      <c r="C15" s="47">
        <f>-1*Calc!$B$27/RND-SUM(C7:C14)</f>
        <v/>
      </c>
      <c r="D15" s="47">
        <f>-1*Calc!$C$27/RND-SUM(D7:D14)</f>
        <v/>
      </c>
    </row>
    <row r="16">
      <c r="B16" s="14" t="inlineStr">
        <is>
          <t>Total</t>
        </is>
      </c>
      <c r="C16" s="49">
        <f>-1*Calc!$B$27/RND</f>
        <v/>
      </c>
      <c r="D16" s="49">
        <f>-1*Calc!$C$27/RND</f>
        <v/>
      </c>
    </row>
    <row r="17"/>
    <row r="18">
      <c r="B18" s="5" t="inlineStr">
        <is>
          <t>Note 19 - Other income</t>
        </is>
      </c>
    </row>
    <row r="19">
      <c r="B19" s="12" t="inlineStr">
        <is>
          <t>Particulars (auto from TB tagging)</t>
        </is>
      </c>
      <c r="C19" s="12" t="inlineStr">
        <is>
          <t>Current year</t>
        </is>
      </c>
      <c r="D19" s="12" t="inlineStr">
        <is>
          <t>Previous year</t>
        </is>
      </c>
    </row>
    <row r="20">
      <c r="B20" s="11">
        <f>IFERROR(INDEX(TB!$A$6:$A$225,MATCH("OTHINC#"&amp;1,TB!$H$6:$H$225,0)),"")</f>
        <v/>
      </c>
      <c r="C20" s="47">
        <f>IF(B20="","",-1*(INDEX(TB!$B$6:$B$225,MATCH("OTHINC#"&amp;1,TB!$H$6:$H$225,0))-INDEX(TB!$C$6:$C$225,MATCH("OTHINC#"&amp;1,TB!$H$6:$H$225,0)))/RND)</f>
        <v/>
      </c>
      <c r="D20" s="47">
        <f>IF(B20="","",-1*(INDEX(TB!$D$6:$D$225,MATCH("OTHINC#"&amp;1,TB!$H$6:$H$225,0))-INDEX(TB!$E$6:$E$225,MATCH("OTHINC#"&amp;1,TB!$H$6:$H$225,0)))/RND)</f>
        <v/>
      </c>
    </row>
    <row r="21">
      <c r="B21" s="11">
        <f>IFERROR(INDEX(TB!$A$6:$A$225,MATCH("OTHINC#"&amp;2,TB!$H$6:$H$225,0)),"")</f>
        <v/>
      </c>
      <c r="C21" s="47">
        <f>IF(B21="","",-1*(INDEX(TB!$B$6:$B$225,MATCH("OTHINC#"&amp;2,TB!$H$6:$H$225,0))-INDEX(TB!$C$6:$C$225,MATCH("OTHINC#"&amp;2,TB!$H$6:$H$225,0)))/RND)</f>
        <v/>
      </c>
      <c r="D21" s="47">
        <f>IF(B21="","",-1*(INDEX(TB!$D$6:$D$225,MATCH("OTHINC#"&amp;2,TB!$H$6:$H$225,0))-INDEX(TB!$E$6:$E$225,MATCH("OTHINC#"&amp;2,TB!$H$6:$H$225,0)))/RND)</f>
        <v/>
      </c>
    </row>
    <row r="22">
      <c r="B22" s="11">
        <f>IFERROR(INDEX(TB!$A$6:$A$225,MATCH("OTHINC#"&amp;3,TB!$H$6:$H$225,0)),"")</f>
        <v/>
      </c>
      <c r="C22" s="47">
        <f>IF(B22="","",-1*(INDEX(TB!$B$6:$B$225,MATCH("OTHINC#"&amp;3,TB!$H$6:$H$225,0))-INDEX(TB!$C$6:$C$225,MATCH("OTHINC#"&amp;3,TB!$H$6:$H$225,0)))/RND)</f>
        <v/>
      </c>
      <c r="D22" s="47">
        <f>IF(B22="","",-1*(INDEX(TB!$D$6:$D$225,MATCH("OTHINC#"&amp;3,TB!$H$6:$H$225,0))-INDEX(TB!$E$6:$E$225,MATCH("OTHINC#"&amp;3,TB!$H$6:$H$225,0)))/RND)</f>
        <v/>
      </c>
    </row>
    <row r="23">
      <c r="B23" s="11">
        <f>IFERROR(INDEX(TB!$A$6:$A$225,MATCH("OTHINC#"&amp;4,TB!$H$6:$H$225,0)),"")</f>
        <v/>
      </c>
      <c r="C23" s="47">
        <f>IF(B23="","",-1*(INDEX(TB!$B$6:$B$225,MATCH("OTHINC#"&amp;4,TB!$H$6:$H$225,0))-INDEX(TB!$C$6:$C$225,MATCH("OTHINC#"&amp;4,TB!$H$6:$H$225,0)))/RND)</f>
        <v/>
      </c>
      <c r="D23" s="47">
        <f>IF(B23="","",-1*(INDEX(TB!$D$6:$D$225,MATCH("OTHINC#"&amp;4,TB!$H$6:$H$225,0))-INDEX(TB!$E$6:$E$225,MATCH("OTHINC#"&amp;4,TB!$H$6:$H$225,0)))/RND)</f>
        <v/>
      </c>
    </row>
    <row r="24">
      <c r="B24" s="11">
        <f>IFERROR(INDEX(TB!$A$6:$A$225,MATCH("OTHINC#"&amp;5,TB!$H$6:$H$225,0)),"")</f>
        <v/>
      </c>
      <c r="C24" s="47">
        <f>IF(B24="","",-1*(INDEX(TB!$B$6:$B$225,MATCH("OTHINC#"&amp;5,TB!$H$6:$H$225,0))-INDEX(TB!$C$6:$C$225,MATCH("OTHINC#"&amp;5,TB!$H$6:$H$225,0)))/RND)</f>
        <v/>
      </c>
      <c r="D24" s="47">
        <f>IF(B24="","",-1*(INDEX(TB!$D$6:$D$225,MATCH("OTHINC#"&amp;5,TB!$H$6:$H$225,0))-INDEX(TB!$E$6:$E$225,MATCH("OTHINC#"&amp;5,TB!$H$6:$H$225,0)))/RND)</f>
        <v/>
      </c>
    </row>
    <row r="25">
      <c r="B25" s="11">
        <f>IFERROR(INDEX(TB!$A$6:$A$225,MATCH("OTHINC#"&amp;6,TB!$H$6:$H$225,0)),"")</f>
        <v/>
      </c>
      <c r="C25" s="47">
        <f>IF(B25="","",-1*(INDEX(TB!$B$6:$B$225,MATCH("OTHINC#"&amp;6,TB!$H$6:$H$225,0))-INDEX(TB!$C$6:$C$225,MATCH("OTHINC#"&amp;6,TB!$H$6:$H$225,0)))/RND)</f>
        <v/>
      </c>
      <c r="D25" s="47">
        <f>IF(B25="","",-1*(INDEX(TB!$D$6:$D$225,MATCH("OTHINC#"&amp;6,TB!$H$6:$H$225,0))-INDEX(TB!$E$6:$E$225,MATCH("OTHINC#"&amp;6,TB!$H$6:$H$225,0)))/RND)</f>
        <v/>
      </c>
    </row>
    <row r="26">
      <c r="B26" s="7" t="inlineStr">
        <is>
          <t>Further ledgers tagged OTHINC beyond 6 lines (combined)</t>
        </is>
      </c>
      <c r="C26" s="47">
        <f>-1*Calc!$B$28/RND-SUM(C20:C25)</f>
        <v/>
      </c>
      <c r="D26" s="47">
        <f>-1*Calc!$C$28/RND-SUM(D20:D25)</f>
        <v/>
      </c>
    </row>
    <row r="27">
      <c r="B27" s="14" t="inlineStr">
        <is>
          <t>Total</t>
        </is>
      </c>
      <c r="C27" s="49">
        <f>-1*Calc!$B$28/RND</f>
        <v/>
      </c>
      <c r="D27" s="49">
        <f>-1*Calc!$C$28/RND</f>
        <v/>
      </c>
    </row>
    <row r="28"/>
    <row r="29">
      <c r="B29" s="5" t="inlineStr">
        <is>
          <t>Note 20 - Cost of materials consumed (derivation)</t>
        </is>
      </c>
    </row>
    <row r="30">
      <c r="B30" s="4" t="inlineStr">
        <is>
          <t>Opening stock of materials (enter)</t>
        </is>
      </c>
      <c r="C30" s="56" t="n">
        <v>0</v>
      </c>
      <c r="D30" s="56" t="n">
        <v>0</v>
      </c>
    </row>
    <row r="31">
      <c r="B31" s="4" t="inlineStr">
        <is>
          <t>Add: purchases (enter)</t>
        </is>
      </c>
      <c r="C31" s="56" t="n">
        <v>0</v>
      </c>
      <c r="D31" s="56" t="n">
        <v>0</v>
      </c>
    </row>
    <row r="32">
      <c r="B32" s="4" t="inlineStr">
        <is>
          <t>Less: closing stock of materials (enter)</t>
        </is>
      </c>
      <c r="C32" s="56" t="n">
        <v>0</v>
      </c>
      <c r="D32" s="56" t="n">
        <v>0</v>
      </c>
    </row>
    <row r="33">
      <c r="B33" s="4" t="inlineStr">
        <is>
          <t>Consumption per derivation</t>
        </is>
      </c>
      <c r="C33" s="47">
        <f>C30+C31-C32</f>
        <v/>
      </c>
      <c r="D33" s="47">
        <f>D30+D31-D32</f>
        <v/>
      </c>
    </row>
    <row r="34">
      <c r="B34" s="14" t="inlineStr">
        <is>
          <t>Per TB (code MATCONS)</t>
        </is>
      </c>
      <c r="C34" s="49">
        <f>Calc!$B$29/RND</f>
        <v/>
      </c>
      <c r="D34" s="49">
        <f>Calc!$C$29/RND</f>
        <v/>
      </c>
    </row>
    <row r="35"/>
    <row r="36">
      <c r="B36" s="5" t="inlineStr">
        <is>
          <t>Note 21 - Employee benefits expense</t>
        </is>
      </c>
    </row>
    <row r="37">
      <c r="B37" s="12" t="inlineStr">
        <is>
          <t>Particulars (auto from TB tagging)</t>
        </is>
      </c>
      <c r="C37" s="12" t="inlineStr">
        <is>
          <t>Current year</t>
        </is>
      </c>
      <c r="D37" s="12" t="inlineStr">
        <is>
          <t>Previous year</t>
        </is>
      </c>
    </row>
    <row r="38">
      <c r="B38" s="11">
        <f>IFERROR(INDEX(TB!$A$6:$A$225,MATCH("EMPB#"&amp;1,TB!$H$6:$H$225,0)),"")</f>
        <v/>
      </c>
      <c r="C38" s="47">
        <f>IF(B38="","",1*(INDEX(TB!$B$6:$B$225,MATCH("EMPB#"&amp;1,TB!$H$6:$H$225,0))-INDEX(TB!$C$6:$C$225,MATCH("EMPB#"&amp;1,TB!$H$6:$H$225,0)))/RND)</f>
        <v/>
      </c>
      <c r="D38" s="47">
        <f>IF(B38="","",1*(INDEX(TB!$D$6:$D$225,MATCH("EMPB#"&amp;1,TB!$H$6:$H$225,0))-INDEX(TB!$E$6:$E$225,MATCH("EMPB#"&amp;1,TB!$H$6:$H$225,0)))/RND)</f>
        <v/>
      </c>
    </row>
    <row r="39">
      <c r="B39" s="11">
        <f>IFERROR(INDEX(TB!$A$6:$A$225,MATCH("EMPB#"&amp;2,TB!$H$6:$H$225,0)),"")</f>
        <v/>
      </c>
      <c r="C39" s="47">
        <f>IF(B39="","",1*(INDEX(TB!$B$6:$B$225,MATCH("EMPB#"&amp;2,TB!$H$6:$H$225,0))-INDEX(TB!$C$6:$C$225,MATCH("EMPB#"&amp;2,TB!$H$6:$H$225,0)))/RND)</f>
        <v/>
      </c>
      <c r="D39" s="47">
        <f>IF(B39="","",1*(INDEX(TB!$D$6:$D$225,MATCH("EMPB#"&amp;2,TB!$H$6:$H$225,0))-INDEX(TB!$E$6:$E$225,MATCH("EMPB#"&amp;2,TB!$H$6:$H$225,0)))/RND)</f>
        <v/>
      </c>
    </row>
    <row r="40">
      <c r="B40" s="11">
        <f>IFERROR(INDEX(TB!$A$6:$A$225,MATCH("EMPB#"&amp;3,TB!$H$6:$H$225,0)),"")</f>
        <v/>
      </c>
      <c r="C40" s="47">
        <f>IF(B40="","",1*(INDEX(TB!$B$6:$B$225,MATCH("EMPB#"&amp;3,TB!$H$6:$H$225,0))-INDEX(TB!$C$6:$C$225,MATCH("EMPB#"&amp;3,TB!$H$6:$H$225,0)))/RND)</f>
        <v/>
      </c>
      <c r="D40" s="47">
        <f>IF(B40="","",1*(INDEX(TB!$D$6:$D$225,MATCH("EMPB#"&amp;3,TB!$H$6:$H$225,0))-INDEX(TB!$E$6:$E$225,MATCH("EMPB#"&amp;3,TB!$H$6:$H$225,0)))/RND)</f>
        <v/>
      </c>
    </row>
    <row r="41">
      <c r="B41" s="11">
        <f>IFERROR(INDEX(TB!$A$6:$A$225,MATCH("EMPB#"&amp;4,TB!$H$6:$H$225,0)),"")</f>
        <v/>
      </c>
      <c r="C41" s="47">
        <f>IF(B41="","",1*(INDEX(TB!$B$6:$B$225,MATCH("EMPB#"&amp;4,TB!$H$6:$H$225,0))-INDEX(TB!$C$6:$C$225,MATCH("EMPB#"&amp;4,TB!$H$6:$H$225,0)))/RND)</f>
        <v/>
      </c>
      <c r="D41" s="47">
        <f>IF(B41="","",1*(INDEX(TB!$D$6:$D$225,MATCH("EMPB#"&amp;4,TB!$H$6:$H$225,0))-INDEX(TB!$E$6:$E$225,MATCH("EMPB#"&amp;4,TB!$H$6:$H$225,0)))/RND)</f>
        <v/>
      </c>
    </row>
    <row r="42">
      <c r="B42" s="11">
        <f>IFERROR(INDEX(TB!$A$6:$A$225,MATCH("EMPB#"&amp;5,TB!$H$6:$H$225,0)),"")</f>
        <v/>
      </c>
      <c r="C42" s="47">
        <f>IF(B42="","",1*(INDEX(TB!$B$6:$B$225,MATCH("EMPB#"&amp;5,TB!$H$6:$H$225,0))-INDEX(TB!$C$6:$C$225,MATCH("EMPB#"&amp;5,TB!$H$6:$H$225,0)))/RND)</f>
        <v/>
      </c>
      <c r="D42" s="47">
        <f>IF(B42="","",1*(INDEX(TB!$D$6:$D$225,MATCH("EMPB#"&amp;5,TB!$H$6:$H$225,0))-INDEX(TB!$E$6:$E$225,MATCH("EMPB#"&amp;5,TB!$H$6:$H$225,0)))/RND)</f>
        <v/>
      </c>
    </row>
    <row r="43">
      <c r="B43" s="11">
        <f>IFERROR(INDEX(TB!$A$6:$A$225,MATCH("EMPB#"&amp;6,TB!$H$6:$H$225,0)),"")</f>
        <v/>
      </c>
      <c r="C43" s="47">
        <f>IF(B43="","",1*(INDEX(TB!$B$6:$B$225,MATCH("EMPB#"&amp;6,TB!$H$6:$H$225,0))-INDEX(TB!$C$6:$C$225,MATCH("EMPB#"&amp;6,TB!$H$6:$H$225,0)))/RND)</f>
        <v/>
      </c>
      <c r="D43" s="47">
        <f>IF(B43="","",1*(INDEX(TB!$D$6:$D$225,MATCH("EMPB#"&amp;6,TB!$H$6:$H$225,0))-INDEX(TB!$E$6:$E$225,MATCH("EMPB#"&amp;6,TB!$H$6:$H$225,0)))/RND)</f>
        <v/>
      </c>
    </row>
    <row r="44">
      <c r="B44" s="11">
        <f>IFERROR(INDEX(TB!$A$6:$A$225,MATCH("EMPB#"&amp;7,TB!$H$6:$H$225,0)),"")</f>
        <v/>
      </c>
      <c r="C44" s="47">
        <f>IF(B44="","",1*(INDEX(TB!$B$6:$B$225,MATCH("EMPB#"&amp;7,TB!$H$6:$H$225,0))-INDEX(TB!$C$6:$C$225,MATCH("EMPB#"&amp;7,TB!$H$6:$H$225,0)))/RND)</f>
        <v/>
      </c>
      <c r="D44" s="47">
        <f>IF(B44="","",1*(INDEX(TB!$D$6:$D$225,MATCH("EMPB#"&amp;7,TB!$H$6:$H$225,0))-INDEX(TB!$E$6:$E$225,MATCH("EMPB#"&amp;7,TB!$H$6:$H$225,0)))/RND)</f>
        <v/>
      </c>
    </row>
    <row r="45">
      <c r="B45" s="11">
        <f>IFERROR(INDEX(TB!$A$6:$A$225,MATCH("EMPB#"&amp;8,TB!$H$6:$H$225,0)),"")</f>
        <v/>
      </c>
      <c r="C45" s="47">
        <f>IF(B45="","",1*(INDEX(TB!$B$6:$B$225,MATCH("EMPB#"&amp;8,TB!$H$6:$H$225,0))-INDEX(TB!$C$6:$C$225,MATCH("EMPB#"&amp;8,TB!$H$6:$H$225,0)))/RND)</f>
        <v/>
      </c>
      <c r="D45" s="47">
        <f>IF(B45="","",1*(INDEX(TB!$D$6:$D$225,MATCH("EMPB#"&amp;8,TB!$H$6:$H$225,0))-INDEX(TB!$E$6:$E$225,MATCH("EMPB#"&amp;8,TB!$H$6:$H$225,0)))/RND)</f>
        <v/>
      </c>
    </row>
    <row r="46">
      <c r="B46" s="7" t="inlineStr">
        <is>
          <t>Further ledgers tagged EMPB beyond 8 lines (combined)</t>
        </is>
      </c>
      <c r="C46" s="47">
        <f>1*Calc!$B$32/RND-SUM(C38:C45)</f>
        <v/>
      </c>
      <c r="D46" s="47">
        <f>1*Calc!$C$32/RND-SUM(D38:D45)</f>
        <v/>
      </c>
    </row>
    <row r="47">
      <c r="B47" s="14" t="inlineStr">
        <is>
          <t>Total</t>
        </is>
      </c>
      <c r="C47" s="49">
        <f>1*Calc!$B$32/RND</f>
        <v/>
      </c>
      <c r="D47" s="49">
        <f>1*Calc!$C$32/RND</f>
        <v/>
      </c>
    </row>
    <row r="48"/>
    <row r="49">
      <c r="B49" s="5" t="inlineStr">
        <is>
          <t>Note 22 - Finance costs</t>
        </is>
      </c>
    </row>
    <row r="50">
      <c r="B50" s="12" t="inlineStr">
        <is>
          <t>Particulars (auto from TB tagging)</t>
        </is>
      </c>
      <c r="C50" s="12" t="inlineStr">
        <is>
          <t>Current year</t>
        </is>
      </c>
      <c r="D50" s="12" t="inlineStr">
        <is>
          <t>Previous year</t>
        </is>
      </c>
    </row>
    <row r="51">
      <c r="B51" s="11">
        <f>IFERROR(INDEX(TB!$A$6:$A$225,MATCH("FINC#"&amp;1,TB!$H$6:$H$225,0)),"")</f>
        <v/>
      </c>
      <c r="C51" s="47">
        <f>IF(B51="","",1*(INDEX(TB!$B$6:$B$225,MATCH("FINC#"&amp;1,TB!$H$6:$H$225,0))-INDEX(TB!$C$6:$C$225,MATCH("FINC#"&amp;1,TB!$H$6:$H$225,0)))/RND)</f>
        <v/>
      </c>
      <c r="D51" s="47">
        <f>IF(B51="","",1*(INDEX(TB!$D$6:$D$225,MATCH("FINC#"&amp;1,TB!$H$6:$H$225,0))-INDEX(TB!$E$6:$E$225,MATCH("FINC#"&amp;1,TB!$H$6:$H$225,0)))/RND)</f>
        <v/>
      </c>
    </row>
    <row r="52">
      <c r="B52" s="11">
        <f>IFERROR(INDEX(TB!$A$6:$A$225,MATCH("FINC#"&amp;2,TB!$H$6:$H$225,0)),"")</f>
        <v/>
      </c>
      <c r="C52" s="47">
        <f>IF(B52="","",1*(INDEX(TB!$B$6:$B$225,MATCH("FINC#"&amp;2,TB!$H$6:$H$225,0))-INDEX(TB!$C$6:$C$225,MATCH("FINC#"&amp;2,TB!$H$6:$H$225,0)))/RND)</f>
        <v/>
      </c>
      <c r="D52" s="47">
        <f>IF(B52="","",1*(INDEX(TB!$D$6:$D$225,MATCH("FINC#"&amp;2,TB!$H$6:$H$225,0))-INDEX(TB!$E$6:$E$225,MATCH("FINC#"&amp;2,TB!$H$6:$H$225,0)))/RND)</f>
        <v/>
      </c>
    </row>
    <row r="53">
      <c r="B53" s="11">
        <f>IFERROR(INDEX(TB!$A$6:$A$225,MATCH("FINC#"&amp;3,TB!$H$6:$H$225,0)),"")</f>
        <v/>
      </c>
      <c r="C53" s="47">
        <f>IF(B53="","",1*(INDEX(TB!$B$6:$B$225,MATCH("FINC#"&amp;3,TB!$H$6:$H$225,0))-INDEX(TB!$C$6:$C$225,MATCH("FINC#"&amp;3,TB!$H$6:$H$225,0)))/RND)</f>
        <v/>
      </c>
      <c r="D53" s="47">
        <f>IF(B53="","",1*(INDEX(TB!$D$6:$D$225,MATCH("FINC#"&amp;3,TB!$H$6:$H$225,0))-INDEX(TB!$E$6:$E$225,MATCH("FINC#"&amp;3,TB!$H$6:$H$225,0)))/RND)</f>
        <v/>
      </c>
    </row>
    <row r="54">
      <c r="B54" s="11">
        <f>IFERROR(INDEX(TB!$A$6:$A$225,MATCH("FINC#"&amp;4,TB!$H$6:$H$225,0)),"")</f>
        <v/>
      </c>
      <c r="C54" s="47">
        <f>IF(B54="","",1*(INDEX(TB!$B$6:$B$225,MATCH("FINC#"&amp;4,TB!$H$6:$H$225,0))-INDEX(TB!$C$6:$C$225,MATCH("FINC#"&amp;4,TB!$H$6:$H$225,0)))/RND)</f>
        <v/>
      </c>
      <c r="D54" s="47">
        <f>IF(B54="","",1*(INDEX(TB!$D$6:$D$225,MATCH("FINC#"&amp;4,TB!$H$6:$H$225,0))-INDEX(TB!$E$6:$E$225,MATCH("FINC#"&amp;4,TB!$H$6:$H$225,0)))/RND)</f>
        <v/>
      </c>
    </row>
    <row r="55">
      <c r="B55" s="11">
        <f>IFERROR(INDEX(TB!$A$6:$A$225,MATCH("FINC#"&amp;5,TB!$H$6:$H$225,0)),"")</f>
        <v/>
      </c>
      <c r="C55" s="47">
        <f>IF(B55="","",1*(INDEX(TB!$B$6:$B$225,MATCH("FINC#"&amp;5,TB!$H$6:$H$225,0))-INDEX(TB!$C$6:$C$225,MATCH("FINC#"&amp;5,TB!$H$6:$H$225,0)))/RND)</f>
        <v/>
      </c>
      <c r="D55" s="47">
        <f>IF(B55="","",1*(INDEX(TB!$D$6:$D$225,MATCH("FINC#"&amp;5,TB!$H$6:$H$225,0))-INDEX(TB!$E$6:$E$225,MATCH("FINC#"&amp;5,TB!$H$6:$H$225,0)))/RND)</f>
        <v/>
      </c>
    </row>
    <row r="56">
      <c r="B56" s="11">
        <f>IFERROR(INDEX(TB!$A$6:$A$225,MATCH("FINC#"&amp;6,TB!$H$6:$H$225,0)),"")</f>
        <v/>
      </c>
      <c r="C56" s="47">
        <f>IF(B56="","",1*(INDEX(TB!$B$6:$B$225,MATCH("FINC#"&amp;6,TB!$H$6:$H$225,0))-INDEX(TB!$C$6:$C$225,MATCH("FINC#"&amp;6,TB!$H$6:$H$225,0)))/RND)</f>
        <v/>
      </c>
      <c r="D56" s="47">
        <f>IF(B56="","",1*(INDEX(TB!$D$6:$D$225,MATCH("FINC#"&amp;6,TB!$H$6:$H$225,0))-INDEX(TB!$E$6:$E$225,MATCH("FINC#"&amp;6,TB!$H$6:$H$225,0)))/RND)</f>
        <v/>
      </c>
    </row>
    <row r="57">
      <c r="B57" s="7" t="inlineStr">
        <is>
          <t>Further ledgers tagged FINC beyond 6 lines (combined)</t>
        </is>
      </c>
      <c r="C57" s="47">
        <f>1*Calc!$B$33/RND-SUM(C51:C56)</f>
        <v/>
      </c>
      <c r="D57" s="47">
        <f>1*Calc!$C$33/RND-SUM(D51:D56)</f>
        <v/>
      </c>
    </row>
    <row r="58">
      <c r="B58" s="14" t="inlineStr">
        <is>
          <t>Total</t>
        </is>
      </c>
      <c r="C58" s="49">
        <f>1*Calc!$B$33/RND</f>
        <v/>
      </c>
      <c r="D58" s="49">
        <f>1*Calc!$C$33/RND</f>
        <v/>
      </c>
    </row>
    <row r="59"/>
    <row r="60">
      <c r="B60" s="5" t="inlineStr">
        <is>
          <t>Note 23 - Other expenses</t>
        </is>
      </c>
    </row>
    <row r="61">
      <c r="B61" s="12" t="inlineStr">
        <is>
          <t>Particulars (auto from TB tagging)</t>
        </is>
      </c>
      <c r="C61" s="12" t="inlineStr">
        <is>
          <t>Current year</t>
        </is>
      </c>
      <c r="D61" s="12" t="inlineStr">
        <is>
          <t>Previous year</t>
        </is>
      </c>
    </row>
    <row r="62">
      <c r="B62" s="11">
        <f>IFERROR(INDEX(TB!$A$6:$A$225,MATCH("OTHEXP#"&amp;1,TB!$H$6:$H$225,0)),"")</f>
        <v/>
      </c>
      <c r="C62" s="47">
        <f>IF(B62="","",1*(INDEX(TB!$B$6:$B$225,MATCH("OTHEXP#"&amp;1,TB!$H$6:$H$225,0))-INDEX(TB!$C$6:$C$225,MATCH("OTHEXP#"&amp;1,TB!$H$6:$H$225,0)))/RND)</f>
        <v/>
      </c>
      <c r="D62" s="47">
        <f>IF(B62="","",1*(INDEX(TB!$D$6:$D$225,MATCH("OTHEXP#"&amp;1,TB!$H$6:$H$225,0))-INDEX(TB!$E$6:$E$225,MATCH("OTHEXP#"&amp;1,TB!$H$6:$H$225,0)))/RND)</f>
        <v/>
      </c>
    </row>
    <row r="63">
      <c r="B63" s="11">
        <f>IFERROR(INDEX(TB!$A$6:$A$225,MATCH("OTHEXP#"&amp;2,TB!$H$6:$H$225,0)),"")</f>
        <v/>
      </c>
      <c r="C63" s="47">
        <f>IF(B63="","",1*(INDEX(TB!$B$6:$B$225,MATCH("OTHEXP#"&amp;2,TB!$H$6:$H$225,0))-INDEX(TB!$C$6:$C$225,MATCH("OTHEXP#"&amp;2,TB!$H$6:$H$225,0)))/RND)</f>
        <v/>
      </c>
      <c r="D63" s="47">
        <f>IF(B63="","",1*(INDEX(TB!$D$6:$D$225,MATCH("OTHEXP#"&amp;2,TB!$H$6:$H$225,0))-INDEX(TB!$E$6:$E$225,MATCH("OTHEXP#"&amp;2,TB!$H$6:$H$225,0)))/RND)</f>
        <v/>
      </c>
    </row>
    <row r="64">
      <c r="B64" s="11">
        <f>IFERROR(INDEX(TB!$A$6:$A$225,MATCH("OTHEXP#"&amp;3,TB!$H$6:$H$225,0)),"")</f>
        <v/>
      </c>
      <c r="C64" s="47">
        <f>IF(B64="","",1*(INDEX(TB!$B$6:$B$225,MATCH("OTHEXP#"&amp;3,TB!$H$6:$H$225,0))-INDEX(TB!$C$6:$C$225,MATCH("OTHEXP#"&amp;3,TB!$H$6:$H$225,0)))/RND)</f>
        <v/>
      </c>
      <c r="D64" s="47">
        <f>IF(B64="","",1*(INDEX(TB!$D$6:$D$225,MATCH("OTHEXP#"&amp;3,TB!$H$6:$H$225,0))-INDEX(TB!$E$6:$E$225,MATCH("OTHEXP#"&amp;3,TB!$H$6:$H$225,0)))/RND)</f>
        <v/>
      </c>
    </row>
    <row r="65">
      <c r="B65" s="11">
        <f>IFERROR(INDEX(TB!$A$6:$A$225,MATCH("OTHEXP#"&amp;4,TB!$H$6:$H$225,0)),"")</f>
        <v/>
      </c>
      <c r="C65" s="47">
        <f>IF(B65="","",1*(INDEX(TB!$B$6:$B$225,MATCH("OTHEXP#"&amp;4,TB!$H$6:$H$225,0))-INDEX(TB!$C$6:$C$225,MATCH("OTHEXP#"&amp;4,TB!$H$6:$H$225,0)))/RND)</f>
        <v/>
      </c>
      <c r="D65" s="47">
        <f>IF(B65="","",1*(INDEX(TB!$D$6:$D$225,MATCH("OTHEXP#"&amp;4,TB!$H$6:$H$225,0))-INDEX(TB!$E$6:$E$225,MATCH("OTHEXP#"&amp;4,TB!$H$6:$H$225,0)))/RND)</f>
        <v/>
      </c>
    </row>
    <row r="66">
      <c r="B66" s="11">
        <f>IFERROR(INDEX(TB!$A$6:$A$225,MATCH("OTHEXP#"&amp;5,TB!$H$6:$H$225,0)),"")</f>
        <v/>
      </c>
      <c r="C66" s="47">
        <f>IF(B66="","",1*(INDEX(TB!$B$6:$B$225,MATCH("OTHEXP#"&amp;5,TB!$H$6:$H$225,0))-INDEX(TB!$C$6:$C$225,MATCH("OTHEXP#"&amp;5,TB!$H$6:$H$225,0)))/RND)</f>
        <v/>
      </c>
      <c r="D66" s="47">
        <f>IF(B66="","",1*(INDEX(TB!$D$6:$D$225,MATCH("OTHEXP#"&amp;5,TB!$H$6:$H$225,0))-INDEX(TB!$E$6:$E$225,MATCH("OTHEXP#"&amp;5,TB!$H$6:$H$225,0)))/RND)</f>
        <v/>
      </c>
    </row>
    <row r="67">
      <c r="B67" s="11">
        <f>IFERROR(INDEX(TB!$A$6:$A$225,MATCH("OTHEXP#"&amp;6,TB!$H$6:$H$225,0)),"")</f>
        <v/>
      </c>
      <c r="C67" s="47">
        <f>IF(B67="","",1*(INDEX(TB!$B$6:$B$225,MATCH("OTHEXP#"&amp;6,TB!$H$6:$H$225,0))-INDEX(TB!$C$6:$C$225,MATCH("OTHEXP#"&amp;6,TB!$H$6:$H$225,0)))/RND)</f>
        <v/>
      </c>
      <c r="D67" s="47">
        <f>IF(B67="","",1*(INDEX(TB!$D$6:$D$225,MATCH("OTHEXP#"&amp;6,TB!$H$6:$H$225,0))-INDEX(TB!$E$6:$E$225,MATCH("OTHEXP#"&amp;6,TB!$H$6:$H$225,0)))/RND)</f>
        <v/>
      </c>
    </row>
    <row r="68">
      <c r="B68" s="11">
        <f>IFERROR(INDEX(TB!$A$6:$A$225,MATCH("OTHEXP#"&amp;7,TB!$H$6:$H$225,0)),"")</f>
        <v/>
      </c>
      <c r="C68" s="47">
        <f>IF(B68="","",1*(INDEX(TB!$B$6:$B$225,MATCH("OTHEXP#"&amp;7,TB!$H$6:$H$225,0))-INDEX(TB!$C$6:$C$225,MATCH("OTHEXP#"&amp;7,TB!$H$6:$H$225,0)))/RND)</f>
        <v/>
      </c>
      <c r="D68" s="47">
        <f>IF(B68="","",1*(INDEX(TB!$D$6:$D$225,MATCH("OTHEXP#"&amp;7,TB!$H$6:$H$225,0))-INDEX(TB!$E$6:$E$225,MATCH("OTHEXP#"&amp;7,TB!$H$6:$H$225,0)))/RND)</f>
        <v/>
      </c>
    </row>
    <row r="69">
      <c r="B69" s="11">
        <f>IFERROR(INDEX(TB!$A$6:$A$225,MATCH("OTHEXP#"&amp;8,TB!$H$6:$H$225,0)),"")</f>
        <v/>
      </c>
      <c r="C69" s="47">
        <f>IF(B69="","",1*(INDEX(TB!$B$6:$B$225,MATCH("OTHEXP#"&amp;8,TB!$H$6:$H$225,0))-INDEX(TB!$C$6:$C$225,MATCH("OTHEXP#"&amp;8,TB!$H$6:$H$225,0)))/RND)</f>
        <v/>
      </c>
      <c r="D69" s="47">
        <f>IF(B69="","",1*(INDEX(TB!$D$6:$D$225,MATCH("OTHEXP#"&amp;8,TB!$H$6:$H$225,0))-INDEX(TB!$E$6:$E$225,MATCH("OTHEXP#"&amp;8,TB!$H$6:$H$225,0)))/RND)</f>
        <v/>
      </c>
    </row>
    <row r="70">
      <c r="B70" s="11">
        <f>IFERROR(INDEX(TB!$A$6:$A$225,MATCH("OTHEXP#"&amp;9,TB!$H$6:$H$225,0)),"")</f>
        <v/>
      </c>
      <c r="C70" s="47">
        <f>IF(B70="","",1*(INDEX(TB!$B$6:$B$225,MATCH("OTHEXP#"&amp;9,TB!$H$6:$H$225,0))-INDEX(TB!$C$6:$C$225,MATCH("OTHEXP#"&amp;9,TB!$H$6:$H$225,0)))/RND)</f>
        <v/>
      </c>
      <c r="D70" s="47">
        <f>IF(B70="","",1*(INDEX(TB!$D$6:$D$225,MATCH("OTHEXP#"&amp;9,TB!$H$6:$H$225,0))-INDEX(TB!$E$6:$E$225,MATCH("OTHEXP#"&amp;9,TB!$H$6:$H$225,0)))/RND)</f>
        <v/>
      </c>
    </row>
    <row r="71">
      <c r="B71" s="11">
        <f>IFERROR(INDEX(TB!$A$6:$A$225,MATCH("OTHEXP#"&amp;10,TB!$H$6:$H$225,0)),"")</f>
        <v/>
      </c>
      <c r="C71" s="47">
        <f>IF(B71="","",1*(INDEX(TB!$B$6:$B$225,MATCH("OTHEXP#"&amp;10,TB!$H$6:$H$225,0))-INDEX(TB!$C$6:$C$225,MATCH("OTHEXP#"&amp;10,TB!$H$6:$H$225,0)))/RND)</f>
        <v/>
      </c>
      <c r="D71" s="47">
        <f>IF(B71="","",1*(INDEX(TB!$D$6:$D$225,MATCH("OTHEXP#"&amp;10,TB!$H$6:$H$225,0))-INDEX(TB!$E$6:$E$225,MATCH("OTHEXP#"&amp;10,TB!$H$6:$H$225,0)))/RND)</f>
        <v/>
      </c>
    </row>
    <row r="72">
      <c r="B72" s="11">
        <f>IFERROR(INDEX(TB!$A$6:$A$225,MATCH("OTHEXP#"&amp;11,TB!$H$6:$H$225,0)),"")</f>
        <v/>
      </c>
      <c r="C72" s="47">
        <f>IF(B72="","",1*(INDEX(TB!$B$6:$B$225,MATCH("OTHEXP#"&amp;11,TB!$H$6:$H$225,0))-INDEX(TB!$C$6:$C$225,MATCH("OTHEXP#"&amp;11,TB!$H$6:$H$225,0)))/RND)</f>
        <v/>
      </c>
      <c r="D72" s="47">
        <f>IF(B72="","",1*(INDEX(TB!$D$6:$D$225,MATCH("OTHEXP#"&amp;11,TB!$H$6:$H$225,0))-INDEX(TB!$E$6:$E$225,MATCH("OTHEXP#"&amp;11,TB!$H$6:$H$225,0)))/RND)</f>
        <v/>
      </c>
    </row>
    <row r="73">
      <c r="B73" s="11">
        <f>IFERROR(INDEX(TB!$A$6:$A$225,MATCH("OTHEXP#"&amp;12,TB!$H$6:$H$225,0)),"")</f>
        <v/>
      </c>
      <c r="C73" s="47">
        <f>IF(B73="","",1*(INDEX(TB!$B$6:$B$225,MATCH("OTHEXP#"&amp;12,TB!$H$6:$H$225,0))-INDEX(TB!$C$6:$C$225,MATCH("OTHEXP#"&amp;12,TB!$H$6:$H$225,0)))/RND)</f>
        <v/>
      </c>
      <c r="D73" s="47">
        <f>IF(B73="","",1*(INDEX(TB!$D$6:$D$225,MATCH("OTHEXP#"&amp;12,TB!$H$6:$H$225,0))-INDEX(TB!$E$6:$E$225,MATCH("OTHEXP#"&amp;12,TB!$H$6:$H$225,0)))/RND)</f>
        <v/>
      </c>
    </row>
    <row r="74">
      <c r="B74" s="11">
        <f>IFERROR(INDEX(TB!$A$6:$A$225,MATCH("OTHEXP#"&amp;13,TB!$H$6:$H$225,0)),"")</f>
        <v/>
      </c>
      <c r="C74" s="47">
        <f>IF(B74="","",1*(INDEX(TB!$B$6:$B$225,MATCH("OTHEXP#"&amp;13,TB!$H$6:$H$225,0))-INDEX(TB!$C$6:$C$225,MATCH("OTHEXP#"&amp;13,TB!$H$6:$H$225,0)))/RND)</f>
        <v/>
      </c>
      <c r="D74" s="47">
        <f>IF(B74="","",1*(INDEX(TB!$D$6:$D$225,MATCH("OTHEXP#"&amp;13,TB!$H$6:$H$225,0))-INDEX(TB!$E$6:$E$225,MATCH("OTHEXP#"&amp;13,TB!$H$6:$H$225,0)))/RND)</f>
        <v/>
      </c>
    </row>
    <row r="75">
      <c r="B75" s="11">
        <f>IFERROR(INDEX(TB!$A$6:$A$225,MATCH("OTHEXP#"&amp;14,TB!$H$6:$H$225,0)),"")</f>
        <v/>
      </c>
      <c r="C75" s="47">
        <f>IF(B75="","",1*(INDEX(TB!$B$6:$B$225,MATCH("OTHEXP#"&amp;14,TB!$H$6:$H$225,0))-INDEX(TB!$C$6:$C$225,MATCH("OTHEXP#"&amp;14,TB!$H$6:$H$225,0)))/RND)</f>
        <v/>
      </c>
      <c r="D75" s="47">
        <f>IF(B75="","",1*(INDEX(TB!$D$6:$D$225,MATCH("OTHEXP#"&amp;14,TB!$H$6:$H$225,0))-INDEX(TB!$E$6:$E$225,MATCH("OTHEXP#"&amp;14,TB!$H$6:$H$225,0)))/RND)</f>
        <v/>
      </c>
    </row>
    <row r="76">
      <c r="B76" s="11">
        <f>IFERROR(INDEX(TB!$A$6:$A$225,MATCH("OTHEXP#"&amp;15,TB!$H$6:$H$225,0)),"")</f>
        <v/>
      </c>
      <c r="C76" s="47">
        <f>IF(B76="","",1*(INDEX(TB!$B$6:$B$225,MATCH("OTHEXP#"&amp;15,TB!$H$6:$H$225,0))-INDEX(TB!$C$6:$C$225,MATCH("OTHEXP#"&amp;15,TB!$H$6:$H$225,0)))/RND)</f>
        <v/>
      </c>
      <c r="D76" s="47">
        <f>IF(B76="","",1*(INDEX(TB!$D$6:$D$225,MATCH("OTHEXP#"&amp;15,TB!$H$6:$H$225,0))-INDEX(TB!$E$6:$E$225,MATCH("OTHEXP#"&amp;15,TB!$H$6:$H$225,0)))/RND)</f>
        <v/>
      </c>
    </row>
    <row r="77">
      <c r="B77" s="11">
        <f>IFERROR(INDEX(TB!$A$6:$A$225,MATCH("OTHEXP#"&amp;16,TB!$H$6:$H$225,0)),"")</f>
        <v/>
      </c>
      <c r="C77" s="47">
        <f>IF(B77="","",1*(INDEX(TB!$B$6:$B$225,MATCH("OTHEXP#"&amp;16,TB!$H$6:$H$225,0))-INDEX(TB!$C$6:$C$225,MATCH("OTHEXP#"&amp;16,TB!$H$6:$H$225,0)))/RND)</f>
        <v/>
      </c>
      <c r="D77" s="47">
        <f>IF(B77="","",1*(INDEX(TB!$D$6:$D$225,MATCH("OTHEXP#"&amp;16,TB!$H$6:$H$225,0))-INDEX(TB!$E$6:$E$225,MATCH("OTHEXP#"&amp;16,TB!$H$6:$H$225,0)))/RND)</f>
        <v/>
      </c>
    </row>
    <row r="78">
      <c r="B78" s="11">
        <f>IFERROR(INDEX(TB!$A$6:$A$225,MATCH("OTHEXP#"&amp;17,TB!$H$6:$H$225,0)),"")</f>
        <v/>
      </c>
      <c r="C78" s="47">
        <f>IF(B78="","",1*(INDEX(TB!$B$6:$B$225,MATCH("OTHEXP#"&amp;17,TB!$H$6:$H$225,0))-INDEX(TB!$C$6:$C$225,MATCH("OTHEXP#"&amp;17,TB!$H$6:$H$225,0)))/RND)</f>
        <v/>
      </c>
      <c r="D78" s="47">
        <f>IF(B78="","",1*(INDEX(TB!$D$6:$D$225,MATCH("OTHEXP#"&amp;17,TB!$H$6:$H$225,0))-INDEX(TB!$E$6:$E$225,MATCH("OTHEXP#"&amp;17,TB!$H$6:$H$225,0)))/RND)</f>
        <v/>
      </c>
    </row>
    <row r="79">
      <c r="B79" s="11">
        <f>IFERROR(INDEX(TB!$A$6:$A$225,MATCH("OTHEXP#"&amp;18,TB!$H$6:$H$225,0)),"")</f>
        <v/>
      </c>
      <c r="C79" s="47">
        <f>IF(B79="","",1*(INDEX(TB!$B$6:$B$225,MATCH("OTHEXP#"&amp;18,TB!$H$6:$H$225,0))-INDEX(TB!$C$6:$C$225,MATCH("OTHEXP#"&amp;18,TB!$H$6:$H$225,0)))/RND)</f>
        <v/>
      </c>
      <c r="D79" s="47">
        <f>IF(B79="","",1*(INDEX(TB!$D$6:$D$225,MATCH("OTHEXP#"&amp;18,TB!$H$6:$H$225,0))-INDEX(TB!$E$6:$E$225,MATCH("OTHEXP#"&amp;18,TB!$H$6:$H$225,0)))/RND)</f>
        <v/>
      </c>
    </row>
    <row r="80">
      <c r="B80" s="11">
        <f>IFERROR(INDEX(TB!$A$6:$A$225,MATCH("OTHEXP#"&amp;19,TB!$H$6:$H$225,0)),"")</f>
        <v/>
      </c>
      <c r="C80" s="47">
        <f>IF(B80="","",1*(INDEX(TB!$B$6:$B$225,MATCH("OTHEXP#"&amp;19,TB!$H$6:$H$225,0))-INDEX(TB!$C$6:$C$225,MATCH("OTHEXP#"&amp;19,TB!$H$6:$H$225,0)))/RND)</f>
        <v/>
      </c>
      <c r="D80" s="47">
        <f>IF(B80="","",1*(INDEX(TB!$D$6:$D$225,MATCH("OTHEXP#"&amp;19,TB!$H$6:$H$225,0))-INDEX(TB!$E$6:$E$225,MATCH("OTHEXP#"&amp;19,TB!$H$6:$H$225,0)))/RND)</f>
        <v/>
      </c>
    </row>
    <row r="81">
      <c r="B81" s="11">
        <f>IFERROR(INDEX(TB!$A$6:$A$225,MATCH("OTHEXP#"&amp;20,TB!$H$6:$H$225,0)),"")</f>
        <v/>
      </c>
      <c r="C81" s="47">
        <f>IF(B81="","",1*(INDEX(TB!$B$6:$B$225,MATCH("OTHEXP#"&amp;20,TB!$H$6:$H$225,0))-INDEX(TB!$C$6:$C$225,MATCH("OTHEXP#"&amp;20,TB!$H$6:$H$225,0)))/RND)</f>
        <v/>
      </c>
      <c r="D81" s="47">
        <f>IF(B81="","",1*(INDEX(TB!$D$6:$D$225,MATCH("OTHEXP#"&amp;20,TB!$H$6:$H$225,0))-INDEX(TB!$E$6:$E$225,MATCH("OTHEXP#"&amp;20,TB!$H$6:$H$225,0)))/RND)</f>
        <v/>
      </c>
    </row>
    <row r="82">
      <c r="B82" s="11">
        <f>IFERROR(INDEX(TB!$A$6:$A$225,MATCH("OTHEXP#"&amp;21,TB!$H$6:$H$225,0)),"")</f>
        <v/>
      </c>
      <c r="C82" s="47">
        <f>IF(B82="","",1*(INDEX(TB!$B$6:$B$225,MATCH("OTHEXP#"&amp;21,TB!$H$6:$H$225,0))-INDEX(TB!$C$6:$C$225,MATCH("OTHEXP#"&amp;21,TB!$H$6:$H$225,0)))/RND)</f>
        <v/>
      </c>
      <c r="D82" s="47">
        <f>IF(B82="","",1*(INDEX(TB!$D$6:$D$225,MATCH("OTHEXP#"&amp;21,TB!$H$6:$H$225,0))-INDEX(TB!$E$6:$E$225,MATCH("OTHEXP#"&amp;21,TB!$H$6:$H$225,0)))/RND)</f>
        <v/>
      </c>
    </row>
    <row r="83">
      <c r="B83" s="11">
        <f>IFERROR(INDEX(TB!$A$6:$A$225,MATCH("OTHEXP#"&amp;22,TB!$H$6:$H$225,0)),"")</f>
        <v/>
      </c>
      <c r="C83" s="47">
        <f>IF(B83="","",1*(INDEX(TB!$B$6:$B$225,MATCH("OTHEXP#"&amp;22,TB!$H$6:$H$225,0))-INDEX(TB!$C$6:$C$225,MATCH("OTHEXP#"&amp;22,TB!$H$6:$H$225,0)))/RND)</f>
        <v/>
      </c>
      <c r="D83" s="47">
        <f>IF(B83="","",1*(INDEX(TB!$D$6:$D$225,MATCH("OTHEXP#"&amp;22,TB!$H$6:$H$225,0))-INDEX(TB!$E$6:$E$225,MATCH("OTHEXP#"&amp;22,TB!$H$6:$H$225,0)))/RND)</f>
        <v/>
      </c>
    </row>
    <row r="84">
      <c r="B84" s="11">
        <f>IFERROR(INDEX(TB!$A$6:$A$225,MATCH("OTHEXP#"&amp;23,TB!$H$6:$H$225,0)),"")</f>
        <v/>
      </c>
      <c r="C84" s="47">
        <f>IF(B84="","",1*(INDEX(TB!$B$6:$B$225,MATCH("OTHEXP#"&amp;23,TB!$H$6:$H$225,0))-INDEX(TB!$C$6:$C$225,MATCH("OTHEXP#"&amp;23,TB!$H$6:$H$225,0)))/RND)</f>
        <v/>
      </c>
      <c r="D84" s="47">
        <f>IF(B84="","",1*(INDEX(TB!$D$6:$D$225,MATCH("OTHEXP#"&amp;23,TB!$H$6:$H$225,0))-INDEX(TB!$E$6:$E$225,MATCH("OTHEXP#"&amp;23,TB!$H$6:$H$225,0)))/RND)</f>
        <v/>
      </c>
    </row>
    <row r="85">
      <c r="B85" s="11">
        <f>IFERROR(INDEX(TB!$A$6:$A$225,MATCH("OTHEXP#"&amp;24,TB!$H$6:$H$225,0)),"")</f>
        <v/>
      </c>
      <c r="C85" s="47">
        <f>IF(B85="","",1*(INDEX(TB!$B$6:$B$225,MATCH("OTHEXP#"&amp;24,TB!$H$6:$H$225,0))-INDEX(TB!$C$6:$C$225,MATCH("OTHEXP#"&amp;24,TB!$H$6:$H$225,0)))/RND)</f>
        <v/>
      </c>
      <c r="D85" s="47">
        <f>IF(B85="","",1*(INDEX(TB!$D$6:$D$225,MATCH("OTHEXP#"&amp;24,TB!$H$6:$H$225,0))-INDEX(TB!$E$6:$E$225,MATCH("OTHEXP#"&amp;24,TB!$H$6:$H$225,0)))/RND)</f>
        <v/>
      </c>
    </row>
    <row r="86">
      <c r="B86" s="7" t="inlineStr">
        <is>
          <t>Further ledgers tagged OTHEXP beyond 24 lines (combined)</t>
        </is>
      </c>
      <c r="C86" s="47">
        <f>1*Calc!$B$35/RND-SUM(C62:C85)</f>
        <v/>
      </c>
      <c r="D86" s="47">
        <f>1*Calc!$C$35/RND-SUM(D62:D85)</f>
        <v/>
      </c>
    </row>
    <row r="87">
      <c r="B87" s="14" t="inlineStr">
        <is>
          <t>Total</t>
        </is>
      </c>
      <c r="C87" s="49">
        <f>1*Calc!$B$35/RND</f>
        <v/>
      </c>
      <c r="D87" s="49">
        <f>1*Calc!$C$35/RND</f>
        <v/>
      </c>
    </row>
    <row r="88"/>
    <row r="89">
      <c r="B89" s="5" t="inlineStr">
        <is>
          <t>Note 23A - Payments to the auditor (included above, Rs)</t>
        </is>
      </c>
    </row>
    <row r="90">
      <c r="B90" s="4" t="inlineStr">
        <is>
          <t>Statutory audit fee</t>
        </is>
      </c>
      <c r="C90" s="42" t="n">
        <v>0</v>
      </c>
    </row>
    <row r="91">
      <c r="B91" s="4" t="inlineStr">
        <is>
          <t>Tax and other services</t>
        </is>
      </c>
      <c r="C91" s="42" t="n">
        <v>0</v>
      </c>
    </row>
    <row r="92">
      <c r="B92" s="5" t="inlineStr">
        <is>
          <t>Note 23B - CSR (Section 135) and MSME interest (MSMED Act), if any (Rs)</t>
        </is>
      </c>
    </row>
    <row r="93">
      <c r="B93" s="4" t="inlineStr">
        <is>
          <t>CSR required / spent</t>
        </is>
      </c>
      <c r="C93" s="42" t="n">
        <v>0</v>
      </c>
    </row>
    <row r="94">
      <c r="B94" s="4" t="inlineStr">
        <is>
          <t>Interest paid or payable to MSME suppliers</t>
        </is>
      </c>
      <c r="C94" s="42" t="n">
        <v>0</v>
      </c>
    </row>
    <row r="95"/>
    <row r="96">
      <c r="B96" s="7" t="inlineStr">
        <is>
          <t>Note 24 - Earnings per share: full working on the EPS sheet; figures flow to the P&amp;L face.</t>
        </is>
      </c>
    </row>
  </sheetData>
  <sheetProtection selectLockedCells="0" selectUnlockedCells="0" sheet="1" objects="0" insertRows="0" insertHyperlinks="1" autoFilter="0" scenarios="0" formatColumns="0" deleteColumns="1" insertColumns="1" pivotTables="1" deleteRows="0" formatCells="1" formatRows="0" sort="0" password="BBBC"/>
  <pageMargins left="0.75" right="0.75" top="1" bottom="1" header="0.5" footer="0.5"/>
</worksheet>
</file>

<file path=xl/worksheets/sheet16.xml><?xml version="1.0" encoding="utf-8"?>
<worksheet xmlns="http://schemas.openxmlformats.org/spreadsheetml/2006/main">
  <sheetPr>
    <tabColor rgb="001E3A8A"/>
    <outlinePr summaryBelow="1" summaryRight="1"/>
    <pageSetUpPr/>
  </sheetPr>
  <dimension ref="A1:H24"/>
  <sheetViews>
    <sheetView showGridLines="0" workbookViewId="0">
      <selection activeCell="A1" sqref="A1"/>
    </sheetView>
  </sheetViews>
  <sheetFormatPr baseColWidth="8" defaultRowHeight="15"/>
  <cols>
    <col width="3" customWidth="1" min="1" max="1"/>
    <col width="40" customWidth="1" min="2" max="2"/>
    <col width="30" customWidth="1" min="3" max="3"/>
    <col width="13" customWidth="1" min="4" max="4"/>
    <col width="13" customWidth="1" min="5" max="5"/>
    <col width="11" customWidth="1" min="6" max="6"/>
    <col width="12" customWidth="1" min="7" max="7"/>
    <col width="44" customWidth="1" min="8" max="8"/>
  </cols>
  <sheetData>
    <row r="1"/>
    <row r="2">
      <c r="B2" s="3" t="inlineStr">
        <is>
          <t>Note - Analytical ratios (Schedule III, 2021 amendment)</t>
        </is>
      </c>
    </row>
    <row r="3">
      <c r="B3" s="7" t="inlineStr">
        <is>
          <t>Formulas mirror the CalcGuru Ratio Analysis Calculator. A variance beyond 25% needs a written reason - the flag column tells you where. Opening-balance inputs feed the averages; leave 0 to use closing balances.</t>
        </is>
      </c>
    </row>
    <row r="4"/>
    <row r="5">
      <c r="B5" s="4" t="inlineStr">
        <is>
          <t>Opening inventory (CY start, Rs)</t>
        </is>
      </c>
      <c r="C5" s="42" t="n">
        <v>0</v>
      </c>
    </row>
    <row r="6">
      <c r="B6" s="4" t="inlineStr">
        <is>
          <t>Opening trade receivables (Rs)</t>
        </is>
      </c>
      <c r="C6" s="42" t="n">
        <v>0</v>
      </c>
    </row>
    <row r="7">
      <c r="B7" s="4" t="inlineStr">
        <is>
          <t>Opening trade payables (Rs)</t>
        </is>
      </c>
      <c r="C7" s="42" t="n">
        <v>0</v>
      </c>
    </row>
    <row r="8">
      <c r="B8" s="4" t="inlineStr">
        <is>
          <t>Opening shareholders funds (Rs)</t>
        </is>
      </c>
      <c r="C8" s="42" t="n">
        <v>0</v>
      </c>
    </row>
    <row r="9">
      <c r="B9" s="4" t="inlineStr">
        <is>
          <t>Principal repaid during the year (for DSCR, Rs)</t>
        </is>
      </c>
      <c r="C9" s="42" t="n">
        <v>0</v>
      </c>
    </row>
    <row r="10">
      <c r="B10" s="4" t="inlineStr">
        <is>
          <t>Income from investments (for ROI, Rs)</t>
        </is>
      </c>
      <c r="C10" s="42" t="n">
        <v>0</v>
      </c>
    </row>
    <row r="11">
      <c r="B11" s="7" t="inlineStr">
        <is>
          <t>PY values of each ratio (enter from last year FS in column E)</t>
        </is>
      </c>
    </row>
    <row r="12"/>
    <row r="13">
      <c r="B13" s="12" t="inlineStr">
        <is>
          <t>Ratio</t>
        </is>
      </c>
      <c r="C13" s="12" t="inlineStr">
        <is>
          <t>Formula</t>
        </is>
      </c>
      <c r="D13" s="12" t="inlineStr">
        <is>
          <t>Current year</t>
        </is>
      </c>
      <c r="E13" s="12" t="inlineStr">
        <is>
          <t>Previous year</t>
        </is>
      </c>
      <c r="F13" s="12" t="inlineStr">
        <is>
          <t>Variance %</t>
        </is>
      </c>
      <c r="G13" s="12" t="inlineStr">
        <is>
          <t>Flag</t>
        </is>
      </c>
      <c r="H13" s="12" t="inlineStr">
        <is>
          <t>Reason for variance &gt; 25%</t>
        </is>
      </c>
    </row>
    <row r="14">
      <c r="B14" s="11" t="inlineStr">
        <is>
          <t>Current ratio</t>
        </is>
      </c>
      <c r="C14" s="13" t="inlineStr">
        <is>
          <t>Current assets / Current liabilities</t>
        </is>
      </c>
      <c r="D14" s="52">
        <f>IF((-Calc!$B$8+Borrowings!$J$18-Calc!$B$9-Calc!$B$10-Calc!$B$11-Calc!$B$12)=0,0,(Calc!$B$21+Calc!$B$22+Calc!$B$23+Calc!$B$24+Calc!$B$25+Calc!$B$26)/(-Calc!$B$8+Borrowings!$J$18-Calc!$B$9-Calc!$B$10-Calc!$B$11-Calc!$B$12))</f>
        <v/>
      </c>
      <c r="E14" s="46" t="n">
        <v>0</v>
      </c>
      <c r="F14" s="54">
        <f>IF(E14=0,"",(D14-E14)/ABS(E14))</f>
        <v/>
      </c>
      <c r="G14" s="36">
        <f>IF(E14=0,"",IF(ABS((D14-E14)/E14)&gt;0.25,"EXPLAIN",""))</f>
        <v/>
      </c>
      <c r="H14" s="40" t="n"/>
    </row>
    <row r="15">
      <c r="B15" s="11" t="inlineStr">
        <is>
          <t>Debt-equity ratio</t>
        </is>
      </c>
      <c r="C15" s="13" t="inlineStr">
        <is>
          <t>Total debt / Shareholders funds</t>
        </is>
      </c>
      <c r="D15" s="52">
        <f>IF((-Calc!$B$2-Calc!$B$3+Calc!$B$45)=0,0,(-Calc!$B$4-Calc!$B$8)/(-Calc!$B$2-Calc!$B$3+Calc!$B$45))</f>
        <v/>
      </c>
      <c r="E15" s="46" t="n">
        <v>0</v>
      </c>
      <c r="F15" s="54">
        <f>IF(E15=0,"",(D15-E15)/ABS(E15))</f>
        <v/>
      </c>
      <c r="G15" s="36">
        <f>IF(E15=0,"",IF(ABS((D15-E15)/E15)&gt;0.25,"EXPLAIN",""))</f>
        <v/>
      </c>
      <c r="H15" s="40" t="n"/>
    </row>
    <row r="16">
      <c r="B16" s="11" t="inlineStr">
        <is>
          <t>Debt service coverage ratio</t>
        </is>
      </c>
      <c r="C16" s="13" t="inlineStr">
        <is>
          <t>(PAT + Dep + Finance costs) / (Finance costs + Principal + Lease)</t>
        </is>
      </c>
      <c r="D16" s="52">
        <f>IF((Calc!$B$33+$C$9)=0,0,(Calc!$B$45+Calc!$B$34+Calc!$B$33)/(Calc!$B$33+$C$9))</f>
        <v/>
      </c>
      <c r="E16" s="46" t="n">
        <v>0</v>
      </c>
      <c r="F16" s="54">
        <f>IF(E16=0,"",(D16-E16)/ABS(E16))</f>
        <v/>
      </c>
      <c r="G16" s="36">
        <f>IF(E16=0,"",IF(ABS((D16-E16)/E16)&gt;0.25,"EXPLAIN",""))</f>
        <v/>
      </c>
      <c r="H16" s="40" t="n"/>
    </row>
    <row r="17">
      <c r="B17" s="11" t="inlineStr">
        <is>
          <t>Return on equity %</t>
        </is>
      </c>
      <c r="C17" s="13" t="inlineStr">
        <is>
          <t>(PAT - Pref dividend) / Average shareholders funds</t>
        </is>
      </c>
      <c r="D17" s="54">
        <f>IF((IF($C$8=0,(-Calc!$B$2-Calc!$B$3+Calc!$B$45),((-Calc!$B$2-Calc!$B$3+Calc!$B$45)+$C$8)/2))=0,0,(Calc!$B$45-Setup!C24)/(IF($C$8=0,(-Calc!$B$2-Calc!$B$3+Calc!$B$45),((-Calc!$B$2-Calc!$B$3+Calc!$B$45)+$C$8)/2)))</f>
        <v/>
      </c>
      <c r="E17" s="58" t="n">
        <v>0</v>
      </c>
      <c r="F17" s="54">
        <f>IF(E17=0,"",(D17-E17)/ABS(E17))</f>
        <v/>
      </c>
      <c r="G17" s="36">
        <f>IF(E17=0,"",IF(ABS((D17-E17)/E17)&gt;0.25,"EXPLAIN",""))</f>
        <v/>
      </c>
      <c r="H17" s="40" t="n"/>
    </row>
    <row r="18">
      <c r="B18" s="11" t="inlineStr">
        <is>
          <t>Inventory turnover</t>
        </is>
      </c>
      <c r="C18" s="13" t="inlineStr">
        <is>
          <t>Cost of goods sold / Average inventory</t>
        </is>
      </c>
      <c r="D18" s="52">
        <f>IF((IF($C$5=0,Calc!$B$22,(Calc!$B$22+$C$5)/2))=0,0,(Calc!$B$29+Calc!$B$30+Calc!$B$31)/(IF($C$5=0,Calc!$B$22,(Calc!$B$22+$C$5)/2)))</f>
        <v/>
      </c>
      <c r="E18" s="46" t="n">
        <v>0</v>
      </c>
      <c r="F18" s="54">
        <f>IF(E18=0,"",(D18-E18)/ABS(E18))</f>
        <v/>
      </c>
      <c r="G18" s="36">
        <f>IF(E18=0,"",IF(ABS((D18-E18)/E18)&gt;0.25,"EXPLAIN",""))</f>
        <v/>
      </c>
      <c r="H18" s="40" t="n"/>
    </row>
    <row r="19">
      <c r="B19" s="11" t="inlineStr">
        <is>
          <t>Trade receivables turnover</t>
        </is>
      </c>
      <c r="C19" s="13" t="inlineStr">
        <is>
          <t>Revenue / Average trade receivables</t>
        </is>
      </c>
      <c r="D19" s="52">
        <f>IF((IF($C$6=0,Calc!$B$23,(Calc!$B$23+$C$6)/2))=0,0,(-Calc!$B$27)/(IF($C$6=0,Calc!$B$23,(Calc!$B$23+$C$6)/2)))</f>
        <v/>
      </c>
      <c r="E19" s="46" t="n">
        <v>0</v>
      </c>
      <c r="F19" s="54">
        <f>IF(E19=0,"",(D19-E19)/ABS(E19))</f>
        <v/>
      </c>
      <c r="G19" s="36">
        <f>IF(E19=0,"",IF(ABS((D19-E19)/E19)&gt;0.25,"EXPLAIN",""))</f>
        <v/>
      </c>
      <c r="H19" s="40" t="n"/>
    </row>
    <row r="20">
      <c r="B20" s="11" t="inlineStr">
        <is>
          <t>Trade payables turnover</t>
        </is>
      </c>
      <c r="C20" s="13" t="inlineStr">
        <is>
          <t>Purchases / Average trade payables</t>
        </is>
      </c>
      <c r="D20" s="52">
        <f>IF((IF($C$7=0,(-Calc!$B$9-Calc!$B$10),((-Calc!$B$9-Calc!$B$10)+$C$7)/2))=0,0,(Calc!$B$29+Calc!$B$30)/(IF($C$7=0,(-Calc!$B$9-Calc!$B$10),((-Calc!$B$9-Calc!$B$10)+$C$7)/2)))</f>
        <v/>
      </c>
      <c r="E20" s="46" t="n">
        <v>0</v>
      </c>
      <c r="F20" s="54">
        <f>IF(E20=0,"",(D20-E20)/ABS(E20))</f>
        <v/>
      </c>
      <c r="G20" s="36">
        <f>IF(E20=0,"",IF(ABS((D20-E20)/E20)&gt;0.25,"EXPLAIN",""))</f>
        <v/>
      </c>
      <c r="H20" s="40" t="n"/>
    </row>
    <row r="21">
      <c r="B21" s="11" t="inlineStr">
        <is>
          <t>Net capital turnover</t>
        </is>
      </c>
      <c r="C21" s="13" t="inlineStr">
        <is>
          <t>Revenue / Working capital</t>
        </is>
      </c>
      <c r="D21" s="52">
        <f>IF(((Calc!$B$21+Calc!$B$22+Calc!$B$23+Calc!$B$24+Calc!$B$25+Calc!$B$26)-(-Calc!$B$8+Borrowings!$J$18-Calc!$B$9-Calc!$B$10-Calc!$B$11-Calc!$B$12))=0,0,(-Calc!$B$27)/((Calc!$B$21+Calc!$B$22+Calc!$B$23+Calc!$B$24+Calc!$B$25+Calc!$B$26)-(-Calc!$B$8+Borrowings!$J$18-Calc!$B$9-Calc!$B$10-Calc!$B$11-Calc!$B$12)))</f>
        <v/>
      </c>
      <c r="E21" s="46" t="n">
        <v>0</v>
      </c>
      <c r="F21" s="54">
        <f>IF(E21=0,"",(D21-E21)/ABS(E21))</f>
        <v/>
      </c>
      <c r="G21" s="36">
        <f>IF(E21=0,"",IF(ABS((D21-E21)/E21)&gt;0.25,"EXPLAIN",""))</f>
        <v/>
      </c>
      <c r="H21" s="40" t="n"/>
    </row>
    <row r="22">
      <c r="B22" s="11" t="inlineStr">
        <is>
          <t>Net profit ratio %</t>
        </is>
      </c>
      <c r="C22" s="13" t="inlineStr">
        <is>
          <t>PAT / Revenue</t>
        </is>
      </c>
      <c r="D22" s="54">
        <f>IF((-Calc!$B$27)=0,0,Calc!$B$45/(-Calc!$B$27))</f>
        <v/>
      </c>
      <c r="E22" s="58" t="n">
        <v>0</v>
      </c>
      <c r="F22" s="54">
        <f>IF(E22=0,"",(D22-E22)/ABS(E22))</f>
        <v/>
      </c>
      <c r="G22" s="36">
        <f>IF(E22=0,"",IF(ABS((D22-E22)/E22)&gt;0.25,"EXPLAIN",""))</f>
        <v/>
      </c>
      <c r="H22" s="40" t="n"/>
    </row>
    <row r="23">
      <c r="B23" s="11" t="inlineStr">
        <is>
          <t>Return on capital employed %</t>
        </is>
      </c>
      <c r="C23" s="13" t="inlineStr">
        <is>
          <t>EBIT / (Equity + Debt + DTL - Intangibles)</t>
        </is>
      </c>
      <c r="D23" s="54">
        <f>IF(((-Calc!$B$2-Calc!$B$3+Calc!$B$45)+(-Calc!$B$4-Calc!$B$8)-Calc!$B$5-Calc!$B$14)=0,0,((Calc!$B$45+Calc!$B$37+Calc!$B$38)+Calc!$B$33)/((-Calc!$B$2-Calc!$B$3+Calc!$B$45)+(-Calc!$B$4-Calc!$B$8)+(-Calc!$B$5)-Calc!$B$14))</f>
        <v/>
      </c>
      <c r="E23" s="58" t="n">
        <v>0</v>
      </c>
      <c r="F23" s="54">
        <f>IF(E23=0,"",(D23-E23)/ABS(E23))</f>
        <v/>
      </c>
      <c r="G23" s="36">
        <f>IF(E23=0,"",IF(ABS((D23-E23)/E23)&gt;0.25,"EXPLAIN",""))</f>
        <v/>
      </c>
      <c r="H23" s="40" t="n"/>
    </row>
    <row r="24">
      <c r="B24" s="11" t="inlineStr">
        <is>
          <t>Return on investment %</t>
        </is>
      </c>
      <c r="C24" s="13" t="inlineStr">
        <is>
          <t>Income from investments / Investments</t>
        </is>
      </c>
      <c r="D24" s="54">
        <f>IF((Calc!$B$17+Calc!$B$21)=0,0,$C$10/(Calc!$B$17+Calc!$B$21))</f>
        <v/>
      </c>
      <c r="E24" s="58" t="n">
        <v>0</v>
      </c>
      <c r="F24" s="54">
        <f>IF(E24=0,"",(D24-E24)/ABS(E24))</f>
        <v/>
      </c>
      <c r="G24" s="36">
        <f>IF(E24=0,"",IF(ABS((D24-E24)/E24)&gt;0.25,"EXPLAIN",""))</f>
        <v/>
      </c>
      <c r="H24" s="40" t="n"/>
    </row>
  </sheetData>
  <sheetProtection selectLockedCells="0" selectUnlockedCells="0" sheet="1" objects="0" insertRows="0" insertHyperlinks="1" autoFilter="0" scenarios="0" formatColumns="0" deleteColumns="1" insertColumns="1" pivotTables="1" deleteRows="0" formatCells="1" formatRows="0" sort="0" password="BBBC"/>
  <pageMargins left="0.75" right="0.75" top="1" bottom="1" header="0.5" footer="0.5"/>
</worksheet>
</file>

<file path=xl/worksheets/sheet17.xml><?xml version="1.0" encoding="utf-8"?>
<worksheet xmlns="http://schemas.openxmlformats.org/spreadsheetml/2006/main">
  <sheetPr>
    <tabColor rgb="005A6672"/>
    <outlinePr summaryBelow="1" summaryRight="1"/>
    <pageSetUpPr/>
  </sheetPr>
  <dimension ref="A1:D24"/>
  <sheetViews>
    <sheetView showGridLines="0" workbookViewId="0">
      <selection activeCell="A1" sqref="A1"/>
    </sheetView>
  </sheetViews>
  <sheetFormatPr baseColWidth="8" defaultRowHeight="15"/>
  <cols>
    <col width="3" customWidth="1" min="1" max="1"/>
    <col width="64" customWidth="1" min="2" max="2"/>
    <col width="10" customWidth="1" min="3" max="3"/>
    <col width="60" customWidth="1" min="4" max="4"/>
  </cols>
  <sheetData>
    <row r="1"/>
    <row r="2">
      <c r="B2" s="3" t="inlineStr">
        <is>
          <t>Additional regulatory information (Schedule III, 2021 amendment) - questionnaire</t>
        </is>
      </c>
    </row>
    <row r="3">
      <c r="B3" s="7" t="inlineStr">
        <is>
          <t>Answer every line. For any Yes, give the details - that text goes into the note. No/NA lines are covered by the standard negative confirmation.</t>
        </is>
      </c>
    </row>
    <row r="4"/>
    <row r="5">
      <c r="B5" s="12" t="inlineStr">
        <is>
          <t>Item</t>
        </is>
      </c>
      <c r="C5" s="12" t="inlineStr">
        <is>
          <t>Answer</t>
        </is>
      </c>
      <c r="D5" s="12" t="inlineStr">
        <is>
          <t>Details if Yes</t>
        </is>
      </c>
    </row>
    <row r="6">
      <c r="B6" s="38" t="inlineStr">
        <is>
          <t>Title deeds of immovable property not held in the name of the company</t>
        </is>
      </c>
      <c r="C6" s="40" t="inlineStr">
        <is>
          <t>No</t>
        </is>
      </c>
      <c r="D6" s="40" t="n"/>
    </row>
    <row r="7">
      <c r="B7" s="38" t="inlineStr">
        <is>
          <t>Investment property / revaluation of PPE during the year</t>
        </is>
      </c>
      <c r="C7" s="40" t="inlineStr">
        <is>
          <t>No</t>
        </is>
      </c>
      <c r="D7" s="40" t="n"/>
    </row>
    <row r="8">
      <c r="B8" s="38" t="inlineStr">
        <is>
          <t>Loans or advances to promoters, directors, KMP or related parties (repayable on demand or without terms)</t>
        </is>
      </c>
      <c r="C8" s="40" t="inlineStr">
        <is>
          <t>No</t>
        </is>
      </c>
      <c r="D8" s="40" t="n"/>
    </row>
    <row r="9">
      <c r="B9" s="38" t="inlineStr">
        <is>
          <t>Benami property proceedings initiated or pending</t>
        </is>
      </c>
      <c r="C9" s="40" t="inlineStr">
        <is>
          <t>No</t>
        </is>
      </c>
      <c r="D9" s="40" t="n"/>
    </row>
    <row r="10">
      <c r="B10" s="38" t="inlineStr">
        <is>
          <t>Borrowings from banks on security of current assets (quarterly returns filed?)</t>
        </is>
      </c>
      <c r="C10" s="40" t="inlineStr">
        <is>
          <t>No</t>
        </is>
      </c>
      <c r="D10" s="40" t="n"/>
    </row>
    <row r="11">
      <c r="B11" s="38" t="inlineStr">
        <is>
          <t>Quarterly returns/statements agree with books of account</t>
        </is>
      </c>
      <c r="C11" s="40" t="inlineStr">
        <is>
          <t>No</t>
        </is>
      </c>
      <c r="D11" s="40" t="n"/>
    </row>
    <row r="12">
      <c r="B12" s="38" t="inlineStr">
        <is>
          <t>Company declared wilful defaulter by any bank or institution</t>
        </is>
      </c>
      <c r="C12" s="40" t="inlineStr">
        <is>
          <t>No</t>
        </is>
      </c>
      <c r="D12" s="40" t="n"/>
    </row>
    <row r="13">
      <c r="B13" s="38" t="inlineStr">
        <is>
          <t>Transactions with companies struck off under section 248</t>
        </is>
      </c>
      <c r="C13" s="40" t="inlineStr">
        <is>
          <t>No</t>
        </is>
      </c>
      <c r="D13" s="40" t="n"/>
    </row>
    <row r="14">
      <c r="B14" s="38" t="inlineStr">
        <is>
          <t>Registration of charges or satisfaction pending beyond the statutory period</t>
        </is>
      </c>
      <c r="C14" s="40" t="inlineStr">
        <is>
          <t>No</t>
        </is>
      </c>
      <c r="D14" s="40" t="n"/>
    </row>
    <row r="15">
      <c r="B15" s="38" t="inlineStr">
        <is>
          <t>Compliance with number of layers of companies (section 2(87))</t>
        </is>
      </c>
      <c r="C15" s="40" t="inlineStr">
        <is>
          <t>No</t>
        </is>
      </c>
      <c r="D15" s="40" t="n"/>
    </row>
    <row r="16">
      <c r="B16" s="38" t="inlineStr">
        <is>
          <t>Scheme of arrangement approved during the year</t>
        </is>
      </c>
      <c r="C16" s="40" t="inlineStr">
        <is>
          <t>No</t>
        </is>
      </c>
      <c r="D16" s="40" t="n"/>
    </row>
    <row r="17">
      <c r="B17" s="38" t="inlineStr">
        <is>
          <t>Funds advanced/loaned to intermediaries for further lending or guarantee (ultimate beneficiaries)</t>
        </is>
      </c>
      <c r="C17" s="40" t="inlineStr">
        <is>
          <t>No</t>
        </is>
      </c>
      <c r="D17" s="40" t="n"/>
    </row>
    <row r="18">
      <c r="B18" s="38" t="inlineStr">
        <is>
          <t>Funds received with the understanding of onward lending (funding parties)</t>
        </is>
      </c>
      <c r="C18" s="40" t="inlineStr">
        <is>
          <t>No</t>
        </is>
      </c>
      <c r="D18" s="40" t="n"/>
    </row>
    <row r="19">
      <c r="B19" s="38" t="inlineStr">
        <is>
          <t>Undisclosed income surrendered in tax assessments during the year</t>
        </is>
      </c>
      <c r="C19" s="40" t="inlineStr">
        <is>
          <t>No</t>
        </is>
      </c>
      <c r="D19" s="40" t="n"/>
    </row>
    <row r="20">
      <c r="B20" s="38" t="inlineStr">
        <is>
          <t>Crypto currency or virtual currency traded or invested during the year</t>
        </is>
      </c>
      <c r="C20" s="40" t="inlineStr">
        <is>
          <t>No</t>
        </is>
      </c>
      <c r="D20" s="40" t="n"/>
    </row>
    <row r="21">
      <c r="B21" s="38" t="inlineStr">
        <is>
          <t>CSR applicability and shortfall, if any</t>
        </is>
      </c>
      <c r="C21" s="40" t="inlineStr">
        <is>
          <t>No</t>
        </is>
      </c>
      <c r="D21" s="40" t="n"/>
    </row>
    <row r="22">
      <c r="B22" s="38" t="inlineStr">
        <is>
          <t>Promoter shareholding change during the year (give % change in Note 2 table)</t>
        </is>
      </c>
      <c r="C22" s="40" t="inlineStr">
        <is>
          <t>No</t>
        </is>
      </c>
      <c r="D22" s="40" t="n"/>
    </row>
    <row r="23"/>
    <row r="24">
      <c r="B24" s="14" t="inlineStr">
        <is>
          <t>Items answered Yes (carry details into the note)</t>
        </is>
      </c>
      <c r="C24" s="45">
        <f>COUNTIF(C6:C22,"Yes")</f>
        <v/>
      </c>
    </row>
  </sheetData>
  <sheetProtection selectLockedCells="0" selectUnlockedCells="0" sheet="1" objects="0" insertRows="0" insertHyperlinks="1" autoFilter="0" scenarios="0" formatColumns="0" deleteColumns="1" insertColumns="1" pivotTables="1" deleteRows="0" formatCells="1" formatRows="0" sort="0" password="BBBC"/>
  <dataValidations count="1">
    <dataValidation sqref="C6:C22" showDropDown="0" showInputMessage="0" showErrorMessage="0" allowBlank="0" type="list">
      <formula1>"Yes,No,NA"</formula1>
    </dataValidation>
  </dataValidations>
  <pageMargins left="0.75" right="0.75" top="1" bottom="1" header="0.5" footer="0.5"/>
</worksheet>
</file>

<file path=xl/worksheets/sheet18.xml><?xml version="1.0" encoding="utf-8"?>
<worksheet xmlns="http://schemas.openxmlformats.org/spreadsheetml/2006/main">
  <sheetPr>
    <tabColor rgb="001E3A8A"/>
    <outlinePr summaryBelow="1" summaryRight="1"/>
    <pageSetUpPr fitToPage="1"/>
  </sheetPr>
  <dimension ref="A1:D53"/>
  <sheetViews>
    <sheetView showGridLines="0" workbookViewId="0">
      <selection activeCell="A1" sqref="A1"/>
    </sheetView>
  </sheetViews>
  <sheetFormatPr baseColWidth="8" defaultRowHeight="15"/>
  <cols>
    <col width="3" customWidth="1" min="1" max="1"/>
    <col width="56" customWidth="1" min="2" max="2"/>
    <col width="17" customWidth="1" min="3" max="3"/>
    <col width="22" customWidth="1" min="4" max="4"/>
    <col width="4" customWidth="1" min="5" max="5"/>
  </cols>
  <sheetData>
    <row r="1"/>
    <row r="2">
      <c r="B2" s="3" t="inlineStr">
        <is>
          <t>Cash Flow Statement (AS 3, indirect method) - in rounding units</t>
        </is>
      </c>
    </row>
    <row r="3">
      <c r="B3" s="13">
        <f>IF(Setup!C17="Yes","Required for this company.","Setup says a cash flow statement is NOT required (OPC/small/dormant) - hide or delete this sheet before printing.")</f>
        <v/>
      </c>
    </row>
    <row r="4"/>
    <row r="5">
      <c r="B5" s="14" t="inlineStr">
        <is>
          <t>A. Operating activities</t>
        </is>
      </c>
    </row>
    <row r="6">
      <c r="B6" s="4" t="inlineStr">
        <is>
          <t>Profit before tax</t>
        </is>
      </c>
      <c r="C6" s="57">
        <f>PL!D20</f>
        <v/>
      </c>
    </row>
    <row r="7">
      <c r="B7" s="4" t="inlineStr">
        <is>
          <t>Add: depreciation and amortisation</t>
        </is>
      </c>
      <c r="C7" s="47">
        <f>Calc!$B$34/RND</f>
        <v/>
      </c>
    </row>
    <row r="8">
      <c r="B8" s="4" t="inlineStr">
        <is>
          <t>Add: finance costs</t>
        </is>
      </c>
      <c r="C8" s="47">
        <f>Calc!$B$33/RND</f>
        <v/>
      </c>
    </row>
    <row r="9">
      <c r="B9" s="4" t="inlineStr">
        <is>
          <t>Less: interest / investment income (enter)</t>
        </is>
      </c>
      <c r="C9" s="56" t="n">
        <v>0</v>
      </c>
    </row>
    <row r="10">
      <c r="B10" s="14" t="inlineStr">
        <is>
          <t>Operating profit before working capital changes</t>
        </is>
      </c>
      <c r="C10" s="49">
        <f>SUM(C6:C8)-C9</f>
        <v/>
      </c>
    </row>
    <row r="11">
      <c r="B11" s="4" t="inlineStr">
        <is>
          <t>(Increase)/decrease in inventories</t>
        </is>
      </c>
      <c r="C11" s="47">
        <f>(Calc!$C$22-Calc!$B$22)/RND</f>
        <v/>
      </c>
    </row>
    <row r="12">
      <c r="B12" s="4" t="inlineStr">
        <is>
          <t>(Increase)/decrease in trade receivables</t>
        </is>
      </c>
      <c r="C12" s="47">
        <f>(Calc!$C$23-Calc!$B$23)/RND</f>
        <v/>
      </c>
    </row>
    <row r="13">
      <c r="B13" s="4" t="inlineStr">
        <is>
          <t>(Increase)/decrease in loans, advances and other assets</t>
        </is>
      </c>
      <c r="C13" s="47">
        <f>(Calc!$C$25+Calc!$C$26+Calc!$C$19+Calc!$C$20-Calc!$B$25-Calc!$B$26-Calc!$B$19-Calc!$B$20)/RND</f>
        <v/>
      </c>
    </row>
    <row r="14">
      <c r="B14" s="4" t="inlineStr">
        <is>
          <t>Increase/(decrease) in trade payables</t>
        </is>
      </c>
      <c r="C14" s="47">
        <f>((-Calc!$B$9-Calc!$B$10)-(-Calc!$C$9-Calc!$C$10))/RND</f>
        <v/>
      </c>
    </row>
    <row r="15">
      <c r="B15" s="4" t="inlineStr">
        <is>
          <t>Increase/(decrease) in other liabilities and provisions</t>
        </is>
      </c>
      <c r="C15" s="47">
        <f>((-Calc!$B$11-Calc!$B$12-Calc!$B$6-Calc!$B$7)-(-Calc!$C$11-Calc!$C$12-Calc!$C$6-Calc!$C$7))/RND</f>
        <v/>
      </c>
    </row>
    <row r="16">
      <c r="B16" s="14" t="inlineStr">
        <is>
          <t>Cash generated from operations</t>
        </is>
      </c>
      <c r="C16" s="48">
        <f>SUM(C10:C15)</f>
        <v/>
      </c>
    </row>
    <row r="17">
      <c r="B17" s="4" t="inlineStr">
        <is>
          <t>Less: income taxes paid (enter)</t>
        </is>
      </c>
      <c r="C17" s="56" t="n">
        <v>0</v>
      </c>
    </row>
    <row r="18">
      <c r="B18" s="14" t="inlineStr">
        <is>
          <t>Net cash from operating activities (A)</t>
        </is>
      </c>
      <c r="C18" s="49">
        <f>C16-C17</f>
        <v/>
      </c>
    </row>
    <row r="19"/>
    <row r="20">
      <c r="B20" s="14" t="inlineStr">
        <is>
          <t>B. Investing activities</t>
        </is>
      </c>
    </row>
    <row r="21">
      <c r="B21" s="4" t="inlineStr">
        <is>
          <t>Purchase of PPE/intangibles/CWIP (enter as negative)</t>
        </is>
      </c>
      <c r="C21" s="56" t="n">
        <v>0</v>
      </c>
    </row>
    <row r="22">
      <c r="B22" s="4" t="inlineStr">
        <is>
          <t>Proceeds from sale of PPE (enter)</t>
        </is>
      </c>
      <c r="C22" s="56" t="n">
        <v>0</v>
      </c>
    </row>
    <row r="23">
      <c r="B23" s="4" t="inlineStr">
        <is>
          <t>(Purchase)/sale of investments - net</t>
        </is>
      </c>
      <c r="C23" s="47">
        <f>(Calc!$C$17+Calc!$C$21-Calc!$B$17-Calc!$B$21)/RND</f>
        <v/>
      </c>
    </row>
    <row r="24">
      <c r="B24" s="4" t="inlineStr">
        <is>
          <t>Interest / investment income received (enter)</t>
        </is>
      </c>
      <c r="C24" s="56" t="n">
        <v>0</v>
      </c>
    </row>
    <row r="25">
      <c r="B25" s="14" t="inlineStr">
        <is>
          <t>Net cash used in investing activities (B)</t>
        </is>
      </c>
      <c r="C25" s="49">
        <f>SUM(C21:C24)</f>
        <v/>
      </c>
    </row>
    <row r="26"/>
    <row r="27">
      <c r="B27" s="14" t="inlineStr">
        <is>
          <t>C. Financing activities</t>
        </is>
      </c>
    </row>
    <row r="28">
      <c r="B28" s="4" t="inlineStr">
        <is>
          <t>Proceeds from issue of shares</t>
        </is>
      </c>
      <c r="C28" s="47">
        <f>((-Calc!$B$2)-(-Calc!$C$2))/RND</f>
        <v/>
      </c>
    </row>
    <row r="29">
      <c r="B29" s="4" t="inlineStr">
        <is>
          <t>Borrowings raised/(repaid) - net</t>
        </is>
      </c>
      <c r="C29" s="47">
        <f>((-Calc!$B$4-Calc!$B$8)-(-Calc!$C$4-Calc!$C$8))/RND</f>
        <v/>
      </c>
    </row>
    <row r="30">
      <c r="B30" s="4" t="inlineStr">
        <is>
          <t>Finance costs paid</t>
        </is>
      </c>
      <c r="C30" s="47">
        <f>-Calc!$B$33/RND</f>
        <v/>
      </c>
    </row>
    <row r="31">
      <c r="B31" s="4" t="inlineStr">
        <is>
          <t>Dividends paid (from Note 3 input)</t>
        </is>
      </c>
      <c r="C31" s="57">
        <f>-'Notes-BS'!C12</f>
        <v/>
      </c>
    </row>
    <row r="32">
      <c r="B32" s="14" t="inlineStr">
        <is>
          <t>Net cash from financing activities (C)</t>
        </is>
      </c>
      <c r="C32" s="49">
        <f>SUM(C28:C31)</f>
        <v/>
      </c>
    </row>
    <row r="33"/>
    <row r="34">
      <c r="B34" s="14" t="inlineStr">
        <is>
          <t>Net increase/(decrease) in cash (A+B+C)</t>
        </is>
      </c>
      <c r="C34" s="48">
        <f>C18+C25+C32</f>
        <v/>
      </c>
    </row>
    <row r="35">
      <c r="B35" s="4" t="inlineStr">
        <is>
          <t>Cash and equivalents - opening</t>
        </is>
      </c>
      <c r="C35" s="47">
        <f>Calc!$C$24/RND</f>
        <v/>
      </c>
    </row>
    <row r="36">
      <c r="B36" s="14" t="inlineStr">
        <is>
          <t>Cash and equivalents - closing (derived)</t>
        </is>
      </c>
      <c r="C36" s="49">
        <f>C34+C35</f>
        <v/>
      </c>
    </row>
    <row r="37">
      <c r="B37" s="4" t="inlineStr">
        <is>
          <t>Closing cash per balance sheet</t>
        </is>
      </c>
      <c r="C37" s="47">
        <f>Calc!$B$24/RND</f>
        <v/>
      </c>
    </row>
    <row r="38">
      <c r="B38" s="14" t="inlineStr">
        <is>
          <t>Difference (0 when investing/financing inputs are complete)</t>
        </is>
      </c>
      <c r="C38" s="48">
        <f>C36-C37</f>
        <v/>
      </c>
    </row>
    <row r="39"/>
    <row r="40">
      <c r="B40" s="7" t="inlineStr">
        <is>
          <t>Significant accounting policies (Note 1) and the accompanying notes form an integral part of the financial statements.</t>
        </is>
      </c>
    </row>
    <row r="41"/>
    <row r="42">
      <c r="B42" s="11">
        <f>"Certified as per books of account"</f>
        <v/>
      </c>
    </row>
    <row r="43">
      <c r="B43" s="18">
        <f>"For "&amp;Setup!C30</f>
        <v/>
      </c>
      <c r="C43" s="11">
        <f>"For and on behalf of the board of directors of"</f>
        <v/>
      </c>
      <c r="D43" s="30" t="n"/>
    </row>
    <row r="44">
      <c r="B44" s="11">
        <f>"Chartered Accountants"</f>
        <v/>
      </c>
      <c r="C44" s="18">
        <f>Setup!C5</f>
        <v/>
      </c>
      <c r="D44" s="30" t="n"/>
    </row>
    <row r="45">
      <c r="B45" s="11">
        <f>"Firm Registration No. "&amp;Setup!C31</f>
        <v/>
      </c>
    </row>
    <row r="46"/>
    <row r="47"/>
    <row r="48">
      <c r="B48" s="18">
        <f>Setup!C32</f>
        <v/>
      </c>
      <c r="C48" s="18">
        <f>Setup!C35</f>
        <v/>
      </c>
      <c r="D48" s="18">
        <f>Setup!C37</f>
        <v/>
      </c>
    </row>
    <row r="49">
      <c r="B49" s="11">
        <f>Setup!C41</f>
        <v/>
      </c>
      <c r="C49" s="11">
        <f>Setup!C42</f>
        <v/>
      </c>
      <c r="D49" s="11">
        <f>Setup!C43</f>
        <v/>
      </c>
    </row>
    <row r="50">
      <c r="B50" s="11">
        <f>"Membership No. "&amp;Setup!C33</f>
        <v/>
      </c>
      <c r="C50" s="11">
        <f>"DIN: "&amp;Setup!C36</f>
        <v/>
      </c>
      <c r="D50" s="11">
        <f>"DIN: "&amp;Setup!C38</f>
        <v/>
      </c>
    </row>
    <row r="51">
      <c r="B51" s="11">
        <f>"UDIN: "&amp;Setup!C34</f>
        <v/>
      </c>
    </row>
    <row r="52">
      <c r="B52" s="11">
        <f>"Place: "&amp;Setup!C39</f>
        <v/>
      </c>
    </row>
    <row r="53">
      <c r="B53" s="11">
        <f>"Date: "&amp;Setup!C40</f>
        <v/>
      </c>
    </row>
  </sheetData>
  <sheetProtection selectLockedCells="0" selectUnlockedCells="0" sheet="1" objects="0" insertRows="0" insertHyperlinks="1" autoFilter="0" scenarios="0" formatColumns="0" deleteColumns="1" insertColumns="1" pivotTables="1" deleteRows="0" formatCells="1" formatRows="0" sort="0" password="BBBC"/>
  <mergeCells count="2">
    <mergeCell ref="C43:D43"/>
    <mergeCell ref="C44:D44"/>
  </mergeCells>
  <pageMargins left="0.75" right="0.75" top="1" bottom="1" header="0.5" footer="0.5"/>
  <pageSetup orientation="portrait" fitToHeight="1" fitToWidth="1"/>
</worksheet>
</file>

<file path=xl/worksheets/sheet19.xml><?xml version="1.0" encoding="utf-8"?>
<worksheet xmlns="http://schemas.openxmlformats.org/spreadsheetml/2006/main">
  <sheetPr>
    <tabColor rgb="00B91C1C"/>
    <outlinePr summaryBelow="1" summaryRight="1"/>
    <pageSetUpPr/>
  </sheetPr>
  <dimension ref="A1:D19"/>
  <sheetViews>
    <sheetView showGridLines="0" workbookViewId="0">
      <selection activeCell="A1" sqref="A1"/>
    </sheetView>
  </sheetViews>
  <sheetFormatPr baseColWidth="8" defaultRowHeight="15"/>
  <cols>
    <col width="3" customWidth="1" min="1" max="1"/>
    <col width="62" customWidth="1" min="2" max="2"/>
    <col width="16" customWidth="1" min="3" max="3"/>
    <col width="14" customWidth="1" min="4" max="4"/>
  </cols>
  <sheetData>
    <row r="1"/>
    <row r="2">
      <c r="B2" s="3" t="inlineStr">
        <is>
          <t>Checks - every row must PASS before you print</t>
        </is>
      </c>
    </row>
    <row r="3"/>
    <row r="4">
      <c r="B4" s="12" t="inlineStr">
        <is>
          <t>Check</t>
        </is>
      </c>
      <c r="C4" s="12" t="inlineStr">
        <is>
          <t>Value</t>
        </is>
      </c>
      <c r="D4" s="12" t="inlineStr">
        <is>
          <t>Status</t>
        </is>
      </c>
    </row>
    <row r="5">
      <c r="B5" s="11" t="inlineStr">
        <is>
          <t>Trial balance CY balances (Dr = Cr)</t>
        </is>
      </c>
      <c r="C5" s="47">
        <f>TB!B227</f>
        <v/>
      </c>
      <c r="D5" s="18">
        <f>IF(ROUND(ABS(C5),2)&lt;=0.01,"PASS","CHECK")</f>
        <v/>
      </c>
    </row>
    <row r="6">
      <c r="B6" s="11" t="inlineStr">
        <is>
          <t>Trial balance PY balances (Dr = Cr)</t>
        </is>
      </c>
      <c r="C6" s="47">
        <f>TB!D227</f>
        <v/>
      </c>
      <c r="D6" s="18">
        <f>IF(ROUND(ABS(C6),2)&lt;=0.01,"PASS","CHECK")</f>
        <v/>
      </c>
    </row>
    <row r="7">
      <c r="B7" s="11" t="inlineStr">
        <is>
          <t>All TB rows with amounts are mapped</t>
        </is>
      </c>
      <c r="C7" s="47">
        <f>TB!B228</f>
        <v/>
      </c>
      <c r="D7" s="18">
        <f>IF(ROUND(ABS(C7),2)&lt;=0.01,"PASS","CHECK")</f>
        <v/>
      </c>
    </row>
    <row r="8">
      <c r="B8" s="11" t="inlineStr">
        <is>
          <t>Balance sheet balances - current year</t>
        </is>
      </c>
      <c r="C8" s="47">
        <f>BS!D42</f>
        <v/>
      </c>
      <c r="D8" s="18">
        <f>IF(ROUND(ABS(C8),2)&lt;=0.01,"PASS","CHECK")</f>
        <v/>
      </c>
    </row>
    <row r="9">
      <c r="B9" s="11" t="inlineStr">
        <is>
          <t>Balance sheet balances - previous year</t>
        </is>
      </c>
      <c r="C9" s="47">
        <f>BS!E42</f>
        <v/>
      </c>
      <c r="D9" s="18">
        <f>IF(ROUND(ABS(C9),2)&lt;=0.01,"PASS","CHECK")</f>
        <v/>
      </c>
    </row>
    <row r="10">
      <c r="B10" s="11" t="inlineStr">
        <is>
          <t>Borrowings grid ties to TB long-term borrowings</t>
        </is>
      </c>
      <c r="C10" s="47">
        <f>Borrowings!I20</f>
        <v/>
      </c>
      <c r="D10" s="18">
        <f>IF(ROUND(ABS(C10),2)&lt;=0.01,"PASS","CHECK")</f>
        <v/>
      </c>
    </row>
    <row r="11">
      <c r="B11" s="11" t="inlineStr">
        <is>
          <t>Receivables ageing ties to trade receivables</t>
        </is>
      </c>
      <c r="C11" s="47">
        <f>Ageing!Q13</f>
        <v/>
      </c>
      <c r="D11" s="18">
        <f>IF(ROUND(ABS(C11),2)&lt;=0.01,"PASS","CHECK")</f>
        <v/>
      </c>
    </row>
    <row r="12">
      <c r="B12" s="11" t="inlineStr">
        <is>
          <t>Payables ageing ties to trade payables</t>
        </is>
      </c>
      <c r="C12" s="47">
        <f>Ageing!P138</f>
        <v/>
      </c>
      <c r="D12" s="18">
        <f>IF(ROUND(ABS(C12),2)&lt;=0.01,"PASS","CHECK")</f>
        <v/>
      </c>
    </row>
    <row r="13">
      <c r="B13" s="11" t="inlineStr">
        <is>
          <t>PPE note grid ties to TB net blocks</t>
        </is>
      </c>
      <c r="C13" s="47">
        <f>IF('Notes-BS'!E98=0,0,'Notes-BS'!E98-'Notes-BS'!E99)</f>
        <v/>
      </c>
      <c r="D13" s="18">
        <f>IF(ROUND(ABS(C13),2)&lt;=0.01,"PASS","CHECK")</f>
        <v/>
      </c>
    </row>
    <row r="14">
      <c r="B14" s="11" t="inlineStr">
        <is>
          <t>Share capital note ties to TB</t>
        </is>
      </c>
      <c r="C14" s="47">
        <f>'Notes-BS'!C7</f>
        <v/>
      </c>
      <c r="D14" s="18">
        <f>IF(ROUND(ABS(C14),2)&lt;=0.01,"PASS","CHECK")</f>
        <v/>
      </c>
    </row>
    <row r="15">
      <c r="B15" s="11" t="inlineStr">
        <is>
          <t>P&amp;L profit equals profit added to reserves</t>
        </is>
      </c>
      <c r="C15" s="47">
        <f>PL!D24-Calc!$B$45/RND</f>
        <v/>
      </c>
      <c r="D15" s="18">
        <f>IF(ROUND(ABS(C15),2)&lt;=0.01,"PASS","CHECK")</f>
        <v/>
      </c>
    </row>
    <row r="16">
      <c r="B16" s="11" t="inlineStr">
        <is>
          <t>Share reconciliation closing equals Setup shares</t>
        </is>
      </c>
      <c r="C16" s="47">
        <f>Shareholding!C20</f>
        <v/>
      </c>
      <c r="D16" s="18">
        <f>IF(ROUND(ABS(C16),2)&lt;=0.01,"PASS","CHECK")</f>
        <v/>
      </c>
    </row>
    <row r="17">
      <c r="B17" s="11" t="inlineStr">
        <is>
          <t>Cash flow reconciles to closing cash</t>
        </is>
      </c>
      <c r="C17" s="47">
        <f>CashFlow!C38</f>
        <v/>
      </c>
      <c r="D17" s="18">
        <f>IF(ROUND(ABS(C17),2)&lt;=0.01,"PASS","CHECK")</f>
        <v/>
      </c>
    </row>
    <row r="18"/>
    <row r="19">
      <c r="B19" s="14" t="inlineStr">
        <is>
          <t>All clear?</t>
        </is>
      </c>
      <c r="C19" s="39">
        <f>IF(COUNTIF(D5:D17,"CHECK")=0,"ALL PASS","REVIEW ROWS MARKED CHECK")</f>
        <v/>
      </c>
    </row>
  </sheetData>
  <sheetProtection selectLockedCells="0" selectUnlockedCells="0" sheet="1" objects="0" insertRows="0" insertHyperlinks="1" autoFilter="0" scenarios="0" formatColumns="0" deleteColumns="1" insertColumns="1" pivotTables="1" deleteRows="0" formatCells="1" formatRows="0" sort="0" password="BBBC"/>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2026-07-23T14:23:56Z</dcterms:created>
  <dcterms:modified xmlns:dcterms="http://purl.org/dc/terms/" xmlns:xsi="http://www.w3.org/2001/XMLSchema-instance" xsi:type="dcterms:W3CDTF">2026-07-23T14:24:14Z</dcterms:modified>
</cp:coreProperties>
</file>