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98" yWindow="-98" windowWidth="21795" windowHeight="12975" tabRatio="600" firstSheet="0" activeTab="1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Calculator" sheetId="2" state="visible" r:id="rId2"/>
    <sheet xmlns:r="http://schemas.openxmlformats.org/officeDocument/2006/relationships" name="Reference AY 2026-27" sheetId="3" state="visible" r:id="rId3"/>
  </sheets>
  <definedNames/>
  <calcPr calcId="191029" fullCalcOnLoad="1" iterateDelta="0.0001"/>
</workbook>
</file>

<file path=xl/styles.xml><?xml version="1.0" encoding="utf-8"?>
<styleSheet xmlns="http://schemas.openxmlformats.org/spreadsheetml/2006/main">
  <numFmts count="1">
    <numFmt numFmtId="164" formatCode="0.0%"/>
  </numFmts>
  <fonts count="14">
    <font>
      <name val="Calibri"/>
      <charset val="1"/>
      <family val="2"/>
      <color theme="1"/>
      <sz val="11"/>
    </font>
    <font>
      <name val="Cambria"/>
      <charset val="1"/>
      <b val="1"/>
      <color rgb="FFFFFFFF"/>
      <sz val="18"/>
    </font>
    <font>
      <name val="Cambria"/>
      <charset val="1"/>
      <b val="1"/>
      <color rgb="FFFFFFFF"/>
      <sz val="12"/>
    </font>
    <font>
      <name val="Cambria"/>
      <charset val="1"/>
      <color rgb="FFFFFFFF"/>
      <sz val="10"/>
    </font>
    <font>
      <name val="Cambria"/>
      <charset val="1"/>
      <b val="1"/>
      <color rgb="FF1E3A8A"/>
      <sz val="10"/>
    </font>
    <font>
      <name val="Cambria"/>
      <charset val="1"/>
      <b val="1"/>
      <color rgb="FF1E3A8A"/>
      <sz val="11"/>
    </font>
    <font>
      <name val="Cambria"/>
      <charset val="1"/>
      <sz val="10"/>
    </font>
    <font>
      <name val="Cambria"/>
      <charset val="1"/>
      <color rgb="FF64748B"/>
      <sz val="8"/>
    </font>
    <font>
      <name val="Cambria"/>
      <charset val="1"/>
      <b val="1"/>
      <sz val="10"/>
    </font>
    <font>
      <name val="Cambria"/>
      <charset val="1"/>
      <color rgb="FFB45309"/>
      <sz val="8"/>
    </font>
    <font>
      <name val="Cambria"/>
      <charset val="1"/>
      <b val="1"/>
      <color rgb="FFFFFFFF"/>
      <sz val="10"/>
    </font>
    <font>
      <name val="Cambria"/>
      <charset val="1"/>
      <b val="1"/>
      <sz val="11"/>
    </font>
    <font>
      <name val="Cambria"/>
      <charset val="1"/>
      <b val="1"/>
      <color rgb="FFFFFFFF"/>
      <sz val="9"/>
    </font>
    <font>
      <name val="Cambria"/>
      <charset val="1"/>
      <sz val="9"/>
    </font>
  </fonts>
  <fills count="7">
    <fill>
      <patternFill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F97316"/>
        <bgColor rgb="FFFF9900"/>
      </patternFill>
    </fill>
    <fill>
      <patternFill patternType="solid">
        <fgColor rgb="FFEFF6FF"/>
        <bgColor rgb="FFFFFFFF"/>
      </patternFill>
    </fill>
    <fill>
      <patternFill patternType="solid">
        <fgColor rgb="FFFFF7CC"/>
        <bgColor rgb="FFFFEDD5"/>
      </patternFill>
    </fill>
    <fill>
      <patternFill patternType="solid">
        <fgColor rgb="FFFFEDD5"/>
        <bgColor rgb="FFFFF7CC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4" fillId="0" borderId="0" applyAlignment="1" pivotButton="0" quotePrefix="0" xfId="0">
      <alignment vertical="top" wrapText="1"/>
    </xf>
    <xf numFmtId="0" fontId="5" fillId="0" borderId="0" pivotButton="0" quotePrefix="0" xfId="0"/>
    <xf numFmtId="0" fontId="6" fillId="0" borderId="0" pivotButton="0" quotePrefix="0" xfId="0"/>
    <xf numFmtId="49" fontId="0" fillId="4" borderId="1" pivotButton="0" quotePrefix="0" xfId="0"/>
    <xf numFmtId="3" fontId="0" fillId="4" borderId="1" pivotButton="0" quotePrefix="0" xfId="0"/>
    <xf numFmtId="0" fontId="8" fillId="0" borderId="0" pivotButton="0" quotePrefix="0" xfId="0"/>
    <xf numFmtId="0" fontId="7" fillId="0" borderId="0" pivotButton="0" quotePrefix="0" xfId="0"/>
    <xf numFmtId="0" fontId="10" fillId="2" borderId="0" pivotButton="0" quotePrefix="0" xfId="0"/>
    <xf numFmtId="0" fontId="10" fillId="2" borderId="1" applyAlignment="1" pivotButton="0" quotePrefix="0" xfId="0">
      <alignment horizontal="center"/>
    </xf>
    <xf numFmtId="0" fontId="12" fillId="2" borderId="1" applyAlignment="1" pivotButton="0" quotePrefix="0" xfId="0">
      <alignment wrapText="1"/>
    </xf>
    <xf numFmtId="0" fontId="0" fillId="0" borderId="1" pivotButton="0" quotePrefix="0" xfId="0"/>
    <xf numFmtId="0" fontId="13" fillId="0" borderId="1" applyAlignment="1" pivotButton="0" quotePrefix="0" xfId="0">
      <alignment vertical="top" wrapText="1"/>
    </xf>
    <xf numFmtId="49" fontId="0" fillId="5" borderId="1" applyProtection="1" pivotButton="0" quotePrefix="0" xfId="0">
      <protection locked="0" hidden="0"/>
    </xf>
    <xf numFmtId="3" fontId="0" fillId="5" borderId="1" applyProtection="1" pivotButton="0" quotePrefix="0" xfId="0">
      <protection locked="0" hidden="0"/>
    </xf>
    <xf numFmtId="3" fontId="0" fillId="4" borderId="1" applyProtection="1" pivotButton="0" quotePrefix="0" xfId="0">
      <protection locked="1" hidden="1"/>
    </xf>
    <xf numFmtId="10" fontId="0" fillId="4" borderId="1" applyProtection="1" pivotButton="0" quotePrefix="0" xfId="0">
      <protection locked="1" hidden="1"/>
    </xf>
    <xf numFmtId="3" fontId="11" fillId="6" borderId="1" applyProtection="1" pivotButton="0" quotePrefix="0" xfId="0">
      <protection locked="1" hidden="1"/>
    </xf>
    <xf numFmtId="164" fontId="0" fillId="4" borderId="1" applyProtection="1" pivotButton="0" quotePrefix="0" xfId="0">
      <protection locked="1" hidden="1"/>
    </xf>
    <xf numFmtId="0" fontId="2" fillId="2" borderId="0" applyAlignment="1" pivotButton="0" quotePrefix="0" xfId="0">
      <alignment vertical="center"/>
    </xf>
    <xf numFmtId="0" fontId="0" fillId="0" borderId="0" pivotButton="0" quotePrefix="0" xfId="0"/>
    <xf numFmtId="0" fontId="0" fillId="0" borderId="0" applyAlignment="1" pivotButton="0" quotePrefix="0" xfId="0">
      <alignment vertical="top" wrapText="1"/>
    </xf>
    <xf numFmtId="0" fontId="1" fillId="2" borderId="0" applyAlignment="1" pivotButton="0" quotePrefix="0" xfId="0">
      <alignment vertical="center"/>
    </xf>
    <xf numFmtId="0" fontId="3" fillId="3" borderId="0" applyAlignment="1" pivotButton="0" quotePrefix="0" xfId="0">
      <alignment vertical="center"/>
    </xf>
    <xf numFmtId="0" fontId="7" fillId="0" borderId="0" applyAlignment="1" pivotButton="0" quotePrefix="0" xfId="0">
      <alignment vertical="center" wrapText="1"/>
    </xf>
    <xf numFmtId="0" fontId="2" fillId="3" borderId="0" applyAlignment="1" applyProtection="1" pivotButton="0" quotePrefix="0" xfId="0">
      <alignment vertical="center"/>
      <protection locked="1" hidden="1"/>
    </xf>
    <xf numFmtId="0" fontId="9" fillId="0" borderId="0" applyAlignment="1" pivotButton="0" quotePrefix="0" xfId="0">
      <alignment vertical="top" wrapText="1"/>
    </xf>
    <xf numFmtId="0" fontId="13" fillId="0" borderId="0" pivotButton="0" quotePrefix="0" xfId="0"/>
    <xf numFmtId="49" fontId="0" fillId="4" borderId="1" applyAlignment="1" pivotButton="0" quotePrefix="0" xfId="0">
      <alignment horizontal="right" vertical="center"/>
    </xf>
    <xf numFmtId="49" fontId="0" fillId="5" borderId="1" applyAlignment="1" applyProtection="1" pivotButton="0" quotePrefix="0" xfId="0">
      <alignment horizontal="right" vertical="center"/>
      <protection locked="0" hidden="0"/>
    </xf>
    <xf numFmtId="3" fontId="0" fillId="4" borderId="1" applyAlignment="1" applyProtection="1" pivotButton="0" quotePrefix="0" xfId="0">
      <alignment horizontal="right" vertical="center"/>
      <protection locked="1" hidden="1"/>
    </xf>
    <xf numFmtId="3" fontId="0" fillId="5" borderId="1" applyAlignment="1" applyProtection="1" pivotButton="0" quotePrefix="0" xfId="0">
      <alignment horizontal="right" vertical="center"/>
      <protection locked="0" hidden="0"/>
    </xf>
    <xf numFmtId="0" fontId="10" fillId="2" borderId="1" applyAlignment="1" pivotButton="0" quotePrefix="0" xfId="0">
      <alignment horizontal="right" vertical="center"/>
    </xf>
    <xf numFmtId="3" fontId="0" fillId="4" borderId="1" applyAlignment="1" pivotButton="0" quotePrefix="0" xfId="0">
      <alignment horizontal="right" vertical="center"/>
    </xf>
    <xf numFmtId="10" fontId="0" fillId="4" borderId="1" applyAlignment="1" applyProtection="1" pivotButton="0" quotePrefix="0" xfId="0">
      <alignment horizontal="right" vertical="center"/>
      <protection locked="1" hidden="1"/>
    </xf>
    <xf numFmtId="3" fontId="11" fillId="6" borderId="1" applyAlignment="1" applyProtection="1" pivotButton="0" quotePrefix="0" xfId="0">
      <alignment horizontal="right" vertical="center"/>
      <protection locked="1" hidden="1"/>
    </xf>
    <xf numFmtId="164" fontId="0" fillId="4" borderId="1" applyAlignment="1" applyProtection="1" pivotButton="0" quotePrefix="0" xfId="0">
      <alignment horizontal="right" vertical="center"/>
      <protection locked="1" hidden="1"/>
    </xf>
    <xf numFmtId="0" fontId="0" fillId="0" borderId="0" applyProtection="1" pivotButton="0" quotePrefix="0" xfId="0">
      <protection locked="1" hidden="1"/>
    </xf>
  </cellXfs>
  <cellStyles count="1">
    <cellStyle name="Normal" xfId="0" builtinId="0"/>
  </cellStyle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EFF6FF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DD5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B45309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zoomScaleNormal="100" workbookViewId="0">
      <selection activeCell="A1" sqref="A1:F1"/>
    </sheetView>
  </sheetViews>
  <sheetFormatPr baseColWidth="8" defaultColWidth="8.6640625" defaultRowHeight="14.25"/>
  <cols>
    <col width="20" customWidth="1" style="20" min="1" max="1"/>
    <col width="22" customWidth="1" style="20" min="2" max="6"/>
  </cols>
  <sheetData>
    <row r="1" ht="27.75" customHeight="1" s="20">
      <c r="A1" s="22" t="inlineStr">
        <is>
          <t>CalcGuru</t>
        </is>
      </c>
    </row>
    <row r="2" ht="19.5" customHeight="1" s="20">
      <c r="A2" s="19" t="inlineStr">
        <is>
          <t>Income Tax Calculator (Salaried) - AY 2026-27 (FY 2025-26) - Old vs New Regime</t>
        </is>
      </c>
    </row>
    <row r="3" ht="16.5" customHeight="1" s="20">
      <c r="A3" s="23" t="inlineStr">
        <is>
          <t>Prepared by CA Tirumalesh Malla | calcguru.in - free, no signup | Version 2.1</t>
        </is>
      </c>
    </row>
    <row r="5" ht="45" customHeight="1" s="20">
      <c r="A5" s="1" t="inlineStr">
        <is>
          <t>About</t>
        </is>
      </c>
      <c r="B5" s="21" t="inlineStr">
        <is>
          <t>Side-by-side Old vs New regime computation for salaried employees and pensioners filing for AY 2026-27 (income of FY 2025-26). Fill the yellow cells on the Calculator sheet - everything else computes, including the reliefs most calculators miss.</t>
        </is>
      </c>
    </row>
    <row r="6" ht="75" customHeight="1" s="20">
      <c r="A6" s="1" t="inlineStr">
        <is>
          <t>What is covered</t>
        </is>
      </c>
      <c r="B6" s="21" t="inlineStr">
        <is>
          <t>Salary, pension and family pension; Section 10 exemptions correctly split between BOTH-regime items (gratuity, leave encashment, commuted pension, VRS) and OLD-only items (HRA, LTA, children education, food coupons); house property including LET-OUT income or loss with the correct set-off rules per regime; interest, dividend and other income; the full Chapter VI-A block with age-based caps; employer NPS with the 14%/10% limits.</t>
        </is>
      </c>
    </row>
    <row r="7" ht="45" customHeight="1" s="20">
      <c r="A7" s="1" t="inlineStr">
        <is>
          <t>Correct where it matters</t>
        </is>
      </c>
      <c r="B7" s="21" t="inlineStr">
        <is>
          <t>Rebate u/s 87A with MARGINAL RELIEF (income a little above Rs 12 lakh is taxed at only the excess - most sheets get this wrong); surcharge with marginal relief at every threshold; new-regime rules per the Finance Act 2025 as they apply to FY 2025-26.</t>
        </is>
      </c>
    </row>
    <row r="8" ht="45" customHeight="1" s="20">
      <c r="A8" s="1" t="inlineStr">
        <is>
          <t>Not covered here</t>
        </is>
      </c>
      <c r="B8" s="21" t="inlineStr">
        <is>
          <t>Capital gains, business income and special-rate incomes (lottery etc.) - use the Advanced Income Tax Calculator Excel or the online advanced calculator at calcguru.in/advanced-income-tax-calculator/ for those.</t>
        </is>
      </c>
    </row>
    <row r="9" ht="60" customHeight="1" s="20">
      <c r="A9" s="1" t="inlineStr">
        <is>
          <t>Key numbers</t>
        </is>
      </c>
      <c r="B9" s="21" t="inlineStr">
        <is>
          <t>New regime: slabs 0-4-8-12-16-20-24 lakh; rebate up to Rs 60,000 for income up to Rs 12 lakh; standard deduction Rs 75,000. Old regime: age-based exemption 2.5/3/5 lakh; rebate Rs 12,500 up to Rs 5 lakh; standard deduction Rs 50,000. Cess 4%. ITR due date (non-audit): 31 July 2026 statutory - check the portal for any CBDT extension.</t>
        </is>
      </c>
    </row>
    <row r="10" ht="30" customHeight="1" s="20">
      <c r="A10" s="1" t="inlineStr">
        <is>
          <t>Updates</t>
        </is>
      </c>
      <c r="B10" s="21" t="inlineStr">
        <is>
          <t>New versions (law changes, next AY) are emailed free - leave your email in the popup on the download page.</t>
        </is>
      </c>
    </row>
    <row r="11" ht="30" customHeight="1" s="20">
      <c r="A11" s="1" t="inlineStr">
        <is>
          <t>Disclaimer</t>
        </is>
      </c>
      <c r="B11" s="21" t="inlineStr">
        <is>
          <t>Indicative computation for planning and cross-checking. Verify against the income-tax e-filing utility before filing. Not professional advice.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10">
    <mergeCell ref="A2:F2"/>
    <mergeCell ref="B7:F7"/>
    <mergeCell ref="B6:F6"/>
    <mergeCell ref="B10:F10"/>
    <mergeCell ref="B11:F11"/>
    <mergeCell ref="A1:F1"/>
    <mergeCell ref="B5:F5"/>
    <mergeCell ref="B8:F8"/>
    <mergeCell ref="A3:F3"/>
    <mergeCell ref="B9:F9"/>
  </mergeCells>
  <pageMargins left="0.75" right="0.75" top="1" bottom="1" header="0.511811023622047" footer="0.511811023622047"/>
  <pageSetup orientation="portrait" paperSize="9" horizontalDpi="300" verticalDpi="3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9"/>
  <sheetViews>
    <sheetView tabSelected="1" zoomScaleNormal="100" workbookViewId="0">
      <selection activeCell="E21" sqref="E21"/>
    </sheetView>
  </sheetViews>
  <sheetFormatPr baseColWidth="8" defaultColWidth="8.6640625" defaultRowHeight="14.25"/>
  <cols>
    <col width="4" customWidth="1" style="20" min="1" max="1"/>
    <col width="58" customWidth="1" style="20" min="2" max="2"/>
    <col width="16" customWidth="1" style="20" min="3" max="4"/>
    <col width="24" customWidth="1" style="20" min="5" max="6"/>
  </cols>
  <sheetData>
    <row r="1" ht="27.75" customHeight="1" s="20">
      <c r="A1" s="22" t="inlineStr">
        <is>
          <t>CalcGuru</t>
        </is>
      </c>
    </row>
    <row r="2" ht="19.5" customHeight="1" s="20">
      <c r="A2" s="19" t="inlineStr">
        <is>
          <t>Income Tax Calculator (Salaried) - AY 2026-27 (FY 2025-26) - Old vs New Regime</t>
        </is>
      </c>
    </row>
    <row r="3" ht="16.5" customHeight="1" s="20">
      <c r="A3" s="23" t="inlineStr">
        <is>
          <t>Fill the YELLOW cells only. Blue cells compute automatically. Amounts in Rupees per year.</t>
        </is>
      </c>
    </row>
    <row r="5" ht="15" customHeight="1" s="20">
      <c r="A5" s="2" t="inlineStr">
        <is>
          <t>1. Filing details (resident individual)</t>
        </is>
      </c>
    </row>
    <row r="6" ht="15" customHeight="1" s="20">
      <c r="B6" s="3" t="inlineStr">
        <is>
          <t>Assessment Year</t>
        </is>
      </c>
      <c r="C6" s="28" t="inlineStr">
        <is>
          <t>AY 2026-27 (FY 2025-26)</t>
        </is>
      </c>
    </row>
    <row r="7" ht="15" customHeight="1" s="20">
      <c r="B7" s="3" t="inlineStr">
        <is>
          <t>Age category</t>
        </is>
      </c>
      <c r="C7" s="29" t="inlineStr">
        <is>
          <t>Below 60</t>
        </is>
      </c>
    </row>
    <row r="8" ht="15" customHeight="1" s="20">
      <c r="B8" s="3" t="inlineStr">
        <is>
          <t>Old-regime basic exemption (auto)</t>
        </is>
      </c>
      <c r="C8" s="30">
        <f>IF(C7="Super Senior (80+)",500000,IF(C7="Senior (60-79)",300000,250000))</f>
        <v/>
      </c>
    </row>
    <row r="9"/>
    <row r="10" ht="15" customHeight="1" s="20">
      <c r="A10" s="2" t="inlineStr">
        <is>
          <t>2. Income</t>
        </is>
      </c>
    </row>
    <row r="11" ht="15" customHeight="1" s="20">
      <c r="B11" s="3" t="inlineStr">
        <is>
          <t>Gross salary / pension from employer (incl. taxable allowances, perquisites)</t>
        </is>
      </c>
      <c r="C11" s="31" t="n">
        <v>4000000</v>
      </c>
      <c r="E11" s="24" t="inlineStr">
        <is>
          <t>Own pension is taxed as salary</t>
        </is>
      </c>
    </row>
    <row r="12" ht="15" customHeight="1" s="20">
      <c r="B12" s="3" t="inlineStr">
        <is>
          <t>Family pension received (if any)</t>
        </is>
      </c>
      <c r="C12" s="31" t="n">
        <v>0</v>
      </c>
      <c r="E12" s="24" t="inlineStr">
        <is>
          <t>Deduction u/s 57(iia) auto: 25K new / 15K old</t>
        </is>
      </c>
    </row>
    <row r="13" ht="15" customHeight="1" s="20">
      <c r="B13" s="3" t="inlineStr">
        <is>
          <t>Savings account interest</t>
        </is>
      </c>
      <c r="C13" s="31" t="n">
        <v>0</v>
      </c>
      <c r="E13" s="24" t="inlineStr">
        <is>
          <t>Drives 80TTA/80TTB (old regime)</t>
        </is>
      </c>
    </row>
    <row r="14" ht="15" customHeight="1" s="20">
      <c r="B14" s="3" t="inlineStr">
        <is>
          <t>FD / RD / other deposit interest</t>
        </is>
      </c>
      <c r="C14" s="31" t="n">
        <v>0</v>
      </c>
    </row>
    <row r="15" ht="15" customHeight="1" s="20">
      <c r="B15" s="3" t="inlineStr">
        <is>
          <t>Dividend income</t>
        </is>
      </c>
      <c r="C15" s="31" t="n">
        <v>0</v>
      </c>
    </row>
    <row r="16" ht="15" customHeight="1" s="20">
      <c r="B16" s="3" t="inlineStr">
        <is>
          <t>Any other income (taxable at slab)</t>
        </is>
      </c>
      <c r="C16" s="31" t="n">
        <v>0</v>
      </c>
      <c r="E16" s="24" t="inlineStr">
        <is>
          <t>NOT lottery/winnings, NOT capital gains - see Cover</t>
        </is>
      </c>
    </row>
    <row r="17"/>
    <row r="18" ht="15" customHeight="1" s="20">
      <c r="A18" s="2" t="inlineStr">
        <is>
          <t>3. Section 10 exemptions - available in BOTH regimes (enter the EXEMPT amount)</t>
        </is>
      </c>
    </row>
    <row r="19" ht="15" customHeight="1" s="20">
      <c r="B19" s="3" t="inlineStr">
        <is>
          <t>Gratuity u/s 10(10)</t>
        </is>
      </c>
      <c r="C19" s="31" t="n">
        <v>0</v>
      </c>
      <c r="E19" s="24" t="inlineStr">
        <is>
          <t>Non-govt cap Rs 20,00,000</t>
        </is>
      </c>
    </row>
    <row r="20" ht="15" customHeight="1" s="20">
      <c r="B20" s="3" t="inlineStr">
        <is>
          <t>Leave encashment u/s 10(10AA)</t>
        </is>
      </c>
      <c r="C20" s="31" t="n">
        <v>180000</v>
      </c>
      <c r="E20" s="24" t="inlineStr">
        <is>
          <t>Non-govt cap Rs 25,00,000</t>
        </is>
      </c>
    </row>
    <row r="21" ht="15" customHeight="1" s="20">
      <c r="B21" s="3" t="inlineStr">
        <is>
          <t>Commuted pension u/s 10(10A)</t>
        </is>
      </c>
      <c r="C21" s="31" t="n">
        <v>0</v>
      </c>
    </row>
    <row r="22" ht="15" customHeight="1" s="20">
      <c r="B22" s="3" t="inlineStr">
        <is>
          <t>VRS compensation u/s 10(10C)</t>
        </is>
      </c>
      <c r="C22" s="31" t="n">
        <v>0</v>
      </c>
      <c r="E22" s="24" t="inlineStr">
        <is>
          <t>Cap Rs 5,00,000</t>
        </is>
      </c>
    </row>
    <row r="23" ht="15" customHeight="1" s="20">
      <c r="B23" s="3" t="inlineStr">
        <is>
          <t>Retrenchment compensation u/s 10(10B)</t>
        </is>
      </c>
      <c r="C23" s="31" t="n">
        <v>0</v>
      </c>
      <c r="E23" s="24" t="inlineStr">
        <is>
          <t>Cap Rs 5,00,000</t>
        </is>
      </c>
    </row>
    <row r="24" ht="15" customHeight="1" s="20">
      <c r="B24" s="3" t="inlineStr">
        <is>
          <t>Official-duty allowances u/s 10(14)</t>
        </is>
      </c>
      <c r="C24" s="31" t="n">
        <v>0</v>
      </c>
      <c r="E24" s="24" t="inlineStr">
        <is>
          <t>Travel/transfer/conveyance/tour daily - duty spends only</t>
        </is>
      </c>
    </row>
    <row r="25" ht="15" customHeight="1" s="20">
      <c r="B25" s="3" t="inlineStr">
        <is>
          <t>Transport allowance - specially-abled</t>
        </is>
      </c>
      <c r="C25" s="31" t="n">
        <v>0</v>
      </c>
      <c r="E25" s="24" t="inlineStr">
        <is>
          <t>Rs 3,200/month cap = 38,400/yr</t>
        </is>
      </c>
    </row>
    <row r="26" ht="15" customHeight="1" s="20">
      <c r="B26" s="3" t="inlineStr">
        <is>
          <t>Any other exemption available in BOTH regimes</t>
        </is>
      </c>
      <c r="C26" s="31" t="n">
        <v>0</v>
      </c>
      <c r="E26" s="24" t="inlineStr">
        <is>
          <t>e.g. 10(10CC), exempt PF withdrawal - enter exempt amount</t>
        </is>
      </c>
    </row>
    <row r="27" ht="15" customHeight="1" s="20">
      <c r="B27" s="6" t="inlineStr">
        <is>
          <t>Total (caps auto-applied) - reduces salary in BOTH regimes</t>
        </is>
      </c>
      <c r="C27" s="30">
        <f>MIN(C19,2000000)+MIN(C20,2500000)+C21+MIN(C22,500000)+MIN(C23,500000)+C24+MIN(C25,38400)+C26</f>
        <v/>
      </c>
    </row>
    <row r="28"/>
    <row r="29" ht="15" customHeight="1" s="20">
      <c r="A29" s="2" t="inlineStr">
        <is>
          <t>4. Section 10 exemptions - OLD regime only (do NOT re-enter anything from block 3)</t>
        </is>
      </c>
    </row>
    <row r="30" ht="19.45" customHeight="1" s="20">
      <c r="B30" s="3" t="inlineStr">
        <is>
          <t>HRA exemption u/s 10(13A)</t>
        </is>
      </c>
      <c r="C30" s="31" t="n">
        <v>150000</v>
      </c>
      <c r="E30" s="24" t="inlineStr">
        <is>
          <t>Least of actual / rent-10% salary / 50-40% - use calcguru.in/hra-exemption-calculator/</t>
        </is>
      </c>
    </row>
    <row r="31" ht="15" customHeight="1" s="20">
      <c r="B31" s="3" t="inlineStr">
        <is>
          <t>LTA u/s 10(5)</t>
        </is>
      </c>
      <c r="C31" s="31" t="n">
        <v>0</v>
      </c>
    </row>
    <row r="32" ht="15" customHeight="1" s="20">
      <c r="B32" s="3" t="inlineStr">
        <is>
          <t>Children education allowance</t>
        </is>
      </c>
      <c r="C32" s="31" t="n">
        <v>0</v>
      </c>
      <c r="E32" s="24" t="inlineStr">
        <is>
          <t>Rs 100/month/child, max 2 = cap 2,400</t>
        </is>
      </c>
    </row>
    <row r="33" ht="15" customHeight="1" s="20">
      <c r="B33" s="3" t="inlineStr">
        <is>
          <t>Hostel allowance</t>
        </is>
      </c>
      <c r="C33" s="31" t="n">
        <v>0</v>
      </c>
      <c r="E33" s="24" t="inlineStr">
        <is>
          <t>Rs 300/month/child, max 2 = cap 7,200</t>
        </is>
      </c>
    </row>
    <row r="34" ht="15" customHeight="1" s="20">
      <c r="B34" s="3" t="inlineStr">
        <is>
          <t>Food coupons / meal vouchers</t>
        </is>
      </c>
      <c r="C34" s="31" t="n">
        <v>0</v>
      </c>
      <c r="E34" s="24" t="inlineStr">
        <is>
          <t>Rs 50/meal concession - old regime only this FY</t>
        </is>
      </c>
    </row>
    <row r="35" ht="15" customHeight="1" s="20">
      <c r="B35" s="3" t="inlineStr">
        <is>
          <t>Other OLD-only Sec 10 items (personal allowances)</t>
        </is>
      </c>
      <c r="C35" s="31" t="n">
        <v>0</v>
      </c>
    </row>
    <row r="36" ht="15" customHeight="1" s="20">
      <c r="B36" s="6" t="inlineStr">
        <is>
          <t>Total old-only exemptions (caps auto-applied)</t>
        </is>
      </c>
      <c r="C36" s="30">
        <f>C30+C31+MIN(C32,2400)+MIN(C33,7200)+C34+C35</f>
        <v/>
      </c>
    </row>
    <row r="37"/>
    <row r="38" ht="15" customHeight="1" s="20">
      <c r="A38" s="2" t="inlineStr">
        <is>
          <t>5. Section 16 deductions</t>
        </is>
      </c>
    </row>
    <row r="39" ht="15" customHeight="1" s="20">
      <c r="B39" s="3" t="inlineStr">
        <is>
          <t>Standard deduction (auto)</t>
        </is>
      </c>
      <c r="C39" s="28" t="inlineStr">
        <is>
          <t>Auto in computation</t>
        </is>
      </c>
      <c r="E39" s="24" t="inlineStr">
        <is>
          <t>75,000 new / 50,000 old, capped at salary</t>
        </is>
      </c>
    </row>
    <row r="40" ht="15" customHeight="1" s="20">
      <c r="B40" s="3" t="inlineStr">
        <is>
          <t>Professional tax u/s 16(iii) - OLD only</t>
        </is>
      </c>
      <c r="C40" s="31" t="n">
        <v>2400</v>
      </c>
    </row>
    <row r="41" ht="15" customHeight="1" s="20">
      <c r="B41" s="3" t="inlineStr">
        <is>
          <t>Entertainment allowance u/s 16(ii) - govt employees, OLD only</t>
        </is>
      </c>
      <c r="C41" s="31" t="n">
        <v>0</v>
      </c>
      <c r="E41" s="24" t="inlineStr">
        <is>
          <t>Cap 5,000</t>
        </is>
      </c>
    </row>
    <row r="42"/>
    <row r="43" ht="15" customHeight="1" s="20">
      <c r="A43" s="2" t="inlineStr">
        <is>
          <t>6. House property</t>
        </is>
      </c>
    </row>
    <row r="44" ht="15" customHeight="1" s="20">
      <c r="B44" s="3" t="inlineStr">
        <is>
          <t>Self-occupied: home loan interest u/s 24(b)</t>
        </is>
      </c>
      <c r="C44" s="31" t="n">
        <v>0</v>
      </c>
      <c r="E44" s="24" t="inlineStr">
        <is>
          <t>Old cap 2,00,000 (both SOPs aggregate); NIL in new regime</t>
        </is>
      </c>
    </row>
    <row r="45" ht="15" customHeight="1" s="20">
      <c r="B45" s="3" t="inlineStr">
        <is>
          <t>Let-out: annual rent received</t>
        </is>
      </c>
      <c r="C45" s="31" t="n">
        <v>0</v>
      </c>
    </row>
    <row r="46" ht="15" customHeight="1" s="20">
      <c r="B46" s="3" t="inlineStr">
        <is>
          <t>Let-out: municipal taxes paid</t>
        </is>
      </c>
      <c r="C46" s="31" t="n">
        <v>0</v>
      </c>
    </row>
    <row r="47" ht="15" customHeight="1" s="20">
      <c r="B47" s="3" t="inlineStr">
        <is>
          <t>Let-out: home loan interest u/s 24(b)</t>
        </is>
      </c>
      <c r="C47" s="31" t="n">
        <v>0</v>
      </c>
    </row>
    <row r="48" ht="15" customHeight="1" s="20">
      <c r="B48" s="6" t="inlineStr">
        <is>
          <t>Let-out income / (loss) after 30% standard deduction (auto)</t>
        </is>
      </c>
      <c r="C48" s="30">
        <f>IF(C45=0,0,ROUND((C45-C46)*0.7-C47,0))</f>
        <v/>
      </c>
    </row>
    <row r="49" ht="24" customHeight="1" s="20">
      <c r="B49" s="26" t="inlineStr">
        <is>
          <t>Old regime: HP loss set-off vs other income capped 2,00,000 (balance c/f 8 yrs vs HP only). New regime: SOP interest NOT allowed; let-out LOSS cannot be set off vs other income (c/f position contested).</t>
        </is>
      </c>
    </row>
    <row r="50"/>
    <row r="51" ht="15" customHeight="1" s="20">
      <c r="A51" s="2" t="inlineStr">
        <is>
          <t>7. Chapter VI-A deductions</t>
        </is>
      </c>
    </row>
    <row r="52" ht="15" customHeight="1" s="20">
      <c r="B52" s="3" t="inlineStr">
        <is>
          <t>80C - PF, PPF, ELSS, LIC, tuition, housing principal</t>
        </is>
      </c>
      <c r="C52" s="31" t="n">
        <v>150000</v>
      </c>
      <c r="E52" s="24" t="inlineStr">
        <is>
          <t>Cap 1,50,000 (incl 80CCC/80CCD(1))</t>
        </is>
      </c>
    </row>
    <row r="53" ht="15" customHeight="1" s="20">
      <c r="B53" s="3" t="inlineStr">
        <is>
          <t>80CCD(1B) - additional NPS (own)</t>
        </is>
      </c>
      <c r="C53" s="31" t="n">
        <v>0</v>
      </c>
      <c r="E53" s="24" t="inlineStr">
        <is>
          <t>Cap 50,000</t>
        </is>
      </c>
    </row>
    <row r="54" ht="15" customHeight="1" s="20">
      <c r="B54" s="3" t="inlineStr">
        <is>
          <t>80D - health insurance: self/spouse/children</t>
        </is>
      </c>
      <c r="C54" s="31" t="n">
        <v>0</v>
      </c>
      <c r="E54" s="24" t="inlineStr">
        <is>
          <t>Cap auto 25K / 50K by your age</t>
        </is>
      </c>
    </row>
    <row r="55" ht="15" customHeight="1" s="20">
      <c r="B55" s="3" t="inlineStr">
        <is>
          <t>80D - health insurance: parents</t>
        </is>
      </c>
      <c r="C55" s="31" t="n">
        <v>0</v>
      </c>
    </row>
    <row r="56" ht="15" customHeight="1" s="20">
      <c r="B56" s="3" t="inlineStr">
        <is>
          <t>Parents are senior citizens (60+)?</t>
        </is>
      </c>
      <c r="C56" s="29" t="inlineStr">
        <is>
          <t>No</t>
        </is>
      </c>
      <c r="E56" s="24" t="inlineStr">
        <is>
          <t>Sets parents cap 25K or 50K</t>
        </is>
      </c>
    </row>
    <row r="57" ht="15" customHeight="1" s="20">
      <c r="B57" s="3" t="inlineStr">
        <is>
          <t>80CCD(2) - EMPLOYER NPS contribution (both regimes)</t>
        </is>
      </c>
      <c r="C57" s="31" t="n">
        <v>0</v>
      </c>
    </row>
    <row r="58" ht="15" customHeight="1" s="20">
      <c r="B58" s="3" t="inlineStr">
        <is>
          <t>Your basic salary + DA (for the NPS cap)</t>
        </is>
      </c>
      <c r="C58" s="31" t="n">
        <v>0</v>
      </c>
      <c r="E58" s="24" t="inlineStr">
        <is>
          <t>Cap: 14% new (all) | old: 14% govt / 10% private</t>
        </is>
      </c>
    </row>
    <row r="59" ht="15" customHeight="1" s="20">
      <c r="B59" s="3" t="inlineStr">
        <is>
          <t>Sector</t>
        </is>
      </c>
      <c r="C59" s="29" t="inlineStr">
        <is>
          <t>Private</t>
        </is>
      </c>
      <c r="E59" s="24" t="inlineStr">
        <is>
          <t>Government or Private</t>
        </is>
      </c>
    </row>
    <row r="60" ht="15" customHeight="1" s="20">
      <c r="B60" s="3" t="inlineStr">
        <is>
          <t>80E - education loan interest</t>
        </is>
      </c>
      <c r="C60" s="31" t="n">
        <v>0</v>
      </c>
      <c r="E60" s="24" t="inlineStr">
        <is>
          <t>No cap</t>
        </is>
      </c>
    </row>
    <row r="61" ht="15" customHeight="1" s="20">
      <c r="B61" s="3" t="inlineStr">
        <is>
          <t>80G - donations (eligible amount)</t>
        </is>
      </c>
      <c r="C61" s="31" t="n">
        <v>0</v>
      </c>
      <c r="E61" s="24" t="inlineStr">
        <is>
          <t>No cash above 2,000; 50/100% rules apply</t>
        </is>
      </c>
    </row>
    <row r="62" ht="15" customHeight="1" s="20">
      <c r="B62" s="3" t="inlineStr">
        <is>
          <t>80GG - rent paid (no HRA received)</t>
        </is>
      </c>
      <c r="C62" s="31" t="n">
        <v>0</v>
      </c>
      <c r="E62" s="24" t="inlineStr">
        <is>
          <t>Cap: least of 60K / 25% of income / rent-10%</t>
        </is>
      </c>
    </row>
    <row r="63" ht="15" customHeight="1" s="20">
      <c r="B63" s="3" t="inlineStr">
        <is>
          <t>80U / 80DD / 80DDB - disability &amp; medical</t>
        </is>
      </c>
      <c r="C63" s="31" t="n">
        <v>0</v>
      </c>
      <c r="E63" s="24" t="inlineStr">
        <is>
          <t>Caps: 75K-1.25L / 75K-1.25L / 40K-1L senior</t>
        </is>
      </c>
    </row>
    <row r="64" ht="15" customHeight="1" s="20">
      <c r="B64" s="3" t="inlineStr">
        <is>
          <t>Other deductions (80GGC etc.)</t>
        </is>
      </c>
      <c r="C64" s="31" t="n">
        <v>0</v>
      </c>
    </row>
    <row r="65" ht="15" customHeight="1" s="20">
      <c r="B65" s="7" t="inlineStr">
        <is>
          <t>80TTA/80TTB computed automatically from interest + age (old regime only)</t>
        </is>
      </c>
    </row>
    <row r="67" ht="15" customHeight="1" s="20">
      <c r="A67" s="2" t="inlineStr">
        <is>
          <t>8. Tax computation - Old vs New Regime</t>
        </is>
      </c>
    </row>
    <row r="68" ht="15" customHeight="1" s="20">
      <c r="B68" s="8" t="inlineStr">
        <is>
          <t>Particulars</t>
        </is>
      </c>
      <c r="C68" s="32" t="inlineStr">
        <is>
          <t>OLD Regime (Rs)</t>
        </is>
      </c>
      <c r="D68" s="32" t="inlineStr">
        <is>
          <t>NEW Regime (Rs)</t>
        </is>
      </c>
    </row>
    <row r="69" ht="15" customHeight="1" s="20">
      <c r="B69" s="3" t="inlineStr">
        <is>
          <t>Gross salary / pension</t>
        </is>
      </c>
      <c r="C69" s="30">
        <f>C11</f>
        <v/>
      </c>
      <c r="D69" s="30">
        <f>C11</f>
        <v/>
      </c>
    </row>
    <row r="70" ht="15" customHeight="1" s="20">
      <c r="B70" s="3" t="inlineStr">
        <is>
          <t>Less: Sec 10 - both regimes (block 3)</t>
        </is>
      </c>
      <c r="C70" s="30">
        <f>C27</f>
        <v/>
      </c>
      <c r="D70" s="30">
        <f>C27</f>
        <v/>
      </c>
    </row>
    <row r="71" ht="15" customHeight="1" s="20">
      <c r="B71" s="3" t="inlineStr">
        <is>
          <t>Less: Sec 10 - old-only (block 4)</t>
        </is>
      </c>
      <c r="C71" s="30">
        <f>C36</f>
        <v/>
      </c>
      <c r="D71" s="33" t="n">
        <v>0</v>
      </c>
    </row>
    <row r="72" ht="15" customHeight="1" s="20">
      <c r="B72" s="3" t="inlineStr">
        <is>
          <t>Less: Standard deduction 16(ia)</t>
        </is>
      </c>
      <c r="C72" s="30">
        <f>MIN(50000,MAX(0,C11-C70-C71))</f>
        <v/>
      </c>
      <c r="D72" s="30">
        <f>MIN(75000,MAX(0,C11-C70))</f>
        <v/>
      </c>
    </row>
    <row r="73" ht="15" customHeight="1" s="20">
      <c r="B73" s="3" t="inlineStr">
        <is>
          <t>Less: Professional tax + entertainment allowance (old)</t>
        </is>
      </c>
      <c r="C73" s="30">
        <f>C40+MIN(C41,5000)</f>
        <v/>
      </c>
      <c r="D73" s="33" t="n">
        <v>0</v>
      </c>
    </row>
    <row r="74" ht="15" customHeight="1" s="20">
      <c r="B74" s="6" t="inlineStr">
        <is>
          <t>Net salary income</t>
        </is>
      </c>
      <c r="C74" s="30">
        <f>MAX(0,C69-C70-C71-C72-C73)</f>
        <v/>
      </c>
      <c r="D74" s="30">
        <f>MAX(0,D69-D70-D72)</f>
        <v/>
      </c>
    </row>
    <row r="75" ht="15" customHeight="1" s="20">
      <c r="B75" s="3" t="inlineStr">
        <is>
          <t>Family pension less 57(iia)</t>
        </is>
      </c>
      <c r="C75" s="30">
        <f>MAX(0,C12-MIN(15000,C12/3))</f>
        <v/>
      </c>
      <c r="D75" s="30">
        <f>MAX(0,C12-MIN(25000,C12/3))</f>
        <v/>
      </c>
    </row>
    <row r="76" ht="15" customHeight="1" s="20">
      <c r="B76" s="3" t="inlineStr">
        <is>
          <t>Interest + dividend + other income</t>
        </is>
      </c>
      <c r="C76" s="30">
        <f>C13+C14+C15+C16</f>
        <v/>
      </c>
      <c r="D76" s="30">
        <f>C13+C14+C15+C16</f>
        <v/>
      </c>
    </row>
    <row r="77" ht="15" customHeight="1" s="20">
      <c r="B77" s="3" t="inlineStr">
        <is>
          <t>House property income / (loss) after regime rules</t>
        </is>
      </c>
      <c r="C77" s="30">
        <f>MAX(-200000,C48-MIN(C44,200000))</f>
        <v/>
      </c>
      <c r="D77" s="30">
        <f>MAX(0,C48)</f>
        <v/>
      </c>
    </row>
    <row r="78" ht="15" customHeight="1" s="20">
      <c r="B78" s="6" t="inlineStr">
        <is>
          <t>GROSS TOTAL INCOME</t>
        </is>
      </c>
      <c r="C78" s="30">
        <f>MAX(0,C74+C75+C76+C77)</f>
        <v/>
      </c>
      <c r="D78" s="30">
        <f>MAX(0,D74+D75+D76+D77)</f>
        <v/>
      </c>
    </row>
    <row r="79" ht="15" customHeight="1" s="20">
      <c r="B79" s="3" t="inlineStr">
        <is>
          <t>Less: 80C (cap 1.5L)</t>
        </is>
      </c>
      <c r="C79" s="30">
        <f>MIN(C52,150000)</f>
        <v/>
      </c>
      <c r="D79" s="33" t="n">
        <v>0</v>
      </c>
    </row>
    <row r="80" ht="15" customHeight="1" s="20">
      <c r="B80" s="3" t="inlineStr">
        <is>
          <t>Less: 80CCD(1B) (cap 50K)</t>
        </is>
      </c>
      <c r="C80" s="30">
        <f>MIN(C53,50000)</f>
        <v/>
      </c>
      <c r="D80" s="33" t="n">
        <v>0</v>
      </c>
    </row>
    <row r="81" ht="15" customHeight="1" s="20">
      <c r="B81" s="3" t="inlineStr">
        <is>
          <t>Less: 80D (self cap by age + parents cap)</t>
        </is>
      </c>
      <c r="C81" s="30">
        <f>MIN(C54,IF(C7="Below 60",25000,50000))+MIN(C55,IF(C56="Yes",50000,25000))</f>
        <v/>
      </c>
      <c r="D81" s="33" t="n">
        <v>0</v>
      </c>
    </row>
    <row r="82" ht="15" customHeight="1" s="20">
      <c r="B82" s="3" t="inlineStr">
        <is>
          <t>Less: 80CCD(2) employer NPS (capped)</t>
        </is>
      </c>
      <c r="C82" s="30">
        <f>MIN(C57,C58*IF(C59="Government",0.14,0.1))</f>
        <v/>
      </c>
      <c r="D82" s="30">
        <f>MIN(C57,C58*0.14)</f>
        <v/>
      </c>
    </row>
    <row r="83" ht="15" customHeight="1" s="20">
      <c r="B83" s="3" t="inlineStr">
        <is>
          <t>Less: 80TTA / 80TTB (auto)</t>
        </is>
      </c>
      <c r="C83" s="30">
        <f>IF(C7="Below 60",MIN(C13,10000),MIN(C13+C14,50000))</f>
        <v/>
      </c>
      <c r="D83" s="33" t="n">
        <v>0</v>
      </c>
    </row>
    <row r="84" ht="15" customHeight="1" s="20">
      <c r="B84" s="3" t="inlineStr">
        <is>
          <t>Less: 80E + 80G + 80GG + disability/medical + other</t>
        </is>
      </c>
      <c r="C84" s="30">
        <f>C60+C61+C62+C63+C64</f>
        <v/>
      </c>
      <c r="D84" s="33" t="n">
        <v>0</v>
      </c>
    </row>
    <row r="85" ht="15" customHeight="1" s="20">
      <c r="B85" s="6" t="inlineStr">
        <is>
          <t>TOTAL INCOME (taxable)</t>
        </is>
      </c>
      <c r="C85" s="30">
        <f>MAX(0,ROUND(C78-C79-C80-C81-C82-C83-C84,0))</f>
        <v/>
      </c>
      <c r="D85" s="30">
        <f>MAX(0,ROUND(D78-D82,0))</f>
        <v/>
      </c>
    </row>
    <row r="86" ht="15" customHeight="1" s="20">
      <c r="B86" s="3" t="inlineStr">
        <is>
          <t>Tax at slab rates</t>
        </is>
      </c>
      <c r="C86" s="30">
        <f>ROUND(IF(C7="Super Senior (80+)",MAX(0,MIN(C85,1000000)-500000)*0.2+MAX(0,C85-1000000)*0.3,MAX(0,MIN(C85,500000)-C8)*0.05+MAX(0,MIN(C85,1000000)-500000)*0.2+MAX(0,C85-1000000)*0.3),0)</f>
        <v/>
      </c>
      <c r="D86" s="30">
        <f>ROUND(MAX(0,MIN(D85,800000)-400000)*0.05+MAX(0,MIN(D85,1200000)-800000)*0.1+MAX(0,MIN(D85,1600000)-1200000)*0.15+MAX(0,MIN(D85,2000000)-1600000)*0.2+MAX(0,MIN(D85,2400000)-2000000)*0.25+MAX(0,D85-2400000)*0.3,0)</f>
        <v/>
      </c>
    </row>
    <row r="87" ht="15" customHeight="1" s="20">
      <c r="B87" s="3" t="inlineStr">
        <is>
          <t>Less: Rebate u/s 87A</t>
        </is>
      </c>
      <c r="C87" s="30">
        <f>IF(C85&lt;=500000,MIN(C86,12500),0)</f>
        <v/>
      </c>
      <c r="D87" s="30">
        <f>IF(D85&lt;=1200000,MIN(D86,60000),0)</f>
        <v/>
      </c>
    </row>
    <row r="88" ht="15" customHeight="1" s="20">
      <c r="B88" s="3" t="inlineStr">
        <is>
          <t>Tax after rebate (new: with 87A marginal relief)</t>
        </is>
      </c>
      <c r="C88" s="30">
        <f>MAX(0,C86-C87)</f>
        <v/>
      </c>
      <c r="D88" s="30">
        <f>IF(D85&lt;=1200000,MAX(0,D86-D87),MIN(D86,D85-1200000))</f>
        <v/>
      </c>
    </row>
    <row r="89" ht="15" customHeight="1" s="20">
      <c r="B89" s="3" t="inlineStr">
        <is>
          <t>Surcharge rate band (auto)</t>
        </is>
      </c>
      <c r="C89" s="34">
        <f>IF(C85&gt;50000000,0.37,IF(C85&gt;20000000,0.25,IF(C85&gt;10000000,0.15,IF(C85&gt;5000000,0.1,0))))</f>
        <v/>
      </c>
      <c r="D89" s="34">
        <f>IF(D85&gt;20000000,0.25,IF(D85&gt;10000000,0.15,IF(D85&gt;5000000,0.1,0)))</f>
        <v/>
      </c>
    </row>
    <row r="90" ht="15" customHeight="1" s="20">
      <c r="B90" s="3" t="inlineStr">
        <is>
          <t>Threshold crossed (auto)</t>
        </is>
      </c>
      <c r="C90" s="30">
        <f>IF(C85&gt;50000000,50000000,IF(C85&gt;20000000,20000000,IF(C85&gt;10000000,10000000,IF(C85&gt;5000000,5000000,0))))</f>
        <v/>
      </c>
      <c r="D90" s="30">
        <f>IF(D85&gt;20000000,20000000,IF(D85&gt;10000000,10000000,IF(D85&gt;5000000,5000000,0)))</f>
        <v/>
      </c>
    </row>
    <row r="91" ht="15" customHeight="1" s="20">
      <c r="B91" s="3" t="inlineStr">
        <is>
          <t>Tax at threshold income (marginal-relief working)</t>
        </is>
      </c>
      <c r="C91" s="30">
        <f>IF(C90=0,0,ROUND(IF(C7="Super Senior (80+)",MAX(0,MIN(C90,1000000)-500000)*0.2+MAX(0,C90-1000000)*0.3,MAX(0,MIN(C90,500000)-C8)*0.05+MAX(0,MIN(C90,1000000)-500000)*0.2+MAX(0,C90-1000000)*0.3),0))</f>
        <v/>
      </c>
      <c r="D91" s="30">
        <f>IF(D90=0,0,ROUND(MAX(0,MIN(D90,800000)-400000)*0.05+MAX(0,MIN(D90,1200000)-800000)*0.1+MAX(0,MIN(D90,1600000)-1200000)*0.15+MAX(0,MIN(D90,2000000)-1600000)*0.2+MAX(0,MIN(D90,2400000)-2000000)*0.25+MAX(0,D90-2400000)*0.3,0))</f>
        <v/>
      </c>
    </row>
    <row r="92" ht="15" customHeight="1" s="20">
      <c r="B92" s="3" t="inlineStr">
        <is>
          <t>Surcharge rate AT threshold (auto)</t>
        </is>
      </c>
      <c r="C92" s="34">
        <f>IF(C90=50000000,0.25,IF(C90=20000000,0.15,IF(C90=10000000,0.1,0)))</f>
        <v/>
      </c>
      <c r="D92" s="34">
        <f>IF(D90=20000000,0.15,IF(D90=10000000,0.1,0))</f>
        <v/>
      </c>
    </row>
    <row r="93" ht="15" customHeight="1" s="20">
      <c r="B93" s="6" t="inlineStr">
        <is>
          <t>Surcharge (with marginal relief)</t>
        </is>
      </c>
      <c r="C93" s="30">
        <f>IF(C89=0,0,ROUND(MIN(C88*C89,MAX(0,C91*(1+C92)+(C85-C90)-C88)),0))</f>
        <v/>
      </c>
      <c r="D93" s="30">
        <f>IF(D89=0,0,ROUND(MIN(D88*D89,MAX(0,D91*(1+D92)+(D85-D90)-D88)),0))</f>
        <v/>
      </c>
    </row>
    <row r="94" ht="15" customHeight="1" s="20">
      <c r="B94" s="3" t="inlineStr">
        <is>
          <t>Health &amp; Education Cess @ 4%</t>
        </is>
      </c>
      <c r="C94" s="30">
        <f>ROUND((C88+C93)*0.04,0)</f>
        <v/>
      </c>
      <c r="D94" s="30">
        <f>ROUND((D88+D93)*0.04,0)</f>
        <v/>
      </c>
    </row>
    <row r="95" ht="15" customHeight="1" s="20">
      <c r="B95" s="6" t="inlineStr">
        <is>
          <t>TOTAL TAX PAYABLE</t>
        </is>
      </c>
      <c r="C95" s="35">
        <f>C88+C93+C94</f>
        <v/>
      </c>
      <c r="D95" s="35">
        <f>D88+D93+D94</f>
        <v/>
      </c>
    </row>
    <row r="96" ht="15" customHeight="1" s="20">
      <c r="B96" s="3" t="inlineStr">
        <is>
          <t>Effective rate on gross income</t>
        </is>
      </c>
      <c r="C96" s="36">
        <f>IFERROR(C95/C78,0)</f>
        <v/>
      </c>
      <c r="D96" s="36">
        <f>IFERROR(D95/D78,0)</f>
        <v/>
      </c>
    </row>
    <row r="97" ht="15" customHeight="1" s="20">
      <c r="B97" s="3" t="inlineStr">
        <is>
          <t>Suggested monthly TDS</t>
        </is>
      </c>
      <c r="C97" s="30">
        <f>ROUND(C95/12,0)</f>
        <v/>
      </c>
      <c r="D97" s="30">
        <f>ROUND(D95/12,0)</f>
        <v/>
      </c>
    </row>
    <row r="99" ht="24" customHeight="1" s="20">
      <c r="B99" s="25">
        <f>IF(D95&lt;C95,"NEW REGIME saves Rs "&amp;TEXT(C95-D95,"#,##0")&amp;" - opt for New (the default).",IF(C95&lt;D95,"OLD REGIME saves Rs "&amp;TEXT(D95-C95,"#,##0")&amp;" - file Form 10-IEA to opt out of the default New regime.","Both regimes equal - New (default) is simpler."))</f>
        <v/>
      </c>
      <c r="C99" s="37" t="n"/>
      <c r="D99" s="37" t="n"/>
      <c r="E99" s="37" t="n"/>
      <c r="F99" s="37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33">
    <mergeCell ref="E12:F12"/>
    <mergeCell ref="E24:F24"/>
    <mergeCell ref="E62:F62"/>
    <mergeCell ref="E33:F33"/>
    <mergeCell ref="E23:F23"/>
    <mergeCell ref="E52:F52"/>
    <mergeCell ref="A3:F3"/>
    <mergeCell ref="E39:F39"/>
    <mergeCell ref="E44:F44"/>
    <mergeCell ref="A2:F2"/>
    <mergeCell ref="E20:F20"/>
    <mergeCell ref="E19:F19"/>
    <mergeCell ref="E63:F63"/>
    <mergeCell ref="E13:F13"/>
    <mergeCell ref="E60:F60"/>
    <mergeCell ref="E34:F34"/>
    <mergeCell ref="E59:F59"/>
    <mergeCell ref="E30:F30"/>
    <mergeCell ref="E58:F58"/>
    <mergeCell ref="E11:F11"/>
    <mergeCell ref="B99:F99"/>
    <mergeCell ref="E61:F61"/>
    <mergeCell ref="E26:F26"/>
    <mergeCell ref="B49:F49"/>
    <mergeCell ref="E16:F16"/>
    <mergeCell ref="E54:F54"/>
    <mergeCell ref="E32:F32"/>
    <mergeCell ref="E25:F25"/>
    <mergeCell ref="E41:F41"/>
    <mergeCell ref="A1:F1"/>
    <mergeCell ref="E22:F22"/>
    <mergeCell ref="E53:F53"/>
    <mergeCell ref="E56:F56"/>
  </mergeCells>
  <dataValidations count="3">
    <dataValidation sqref="C7" showDropDown="0" showInputMessage="0" showErrorMessage="0" allowBlank="0" type="list">
      <formula1>"Below 60,Senior (60-79),Super Senior (80+)"</formula1>
      <formula2>0</formula2>
    </dataValidation>
    <dataValidation sqref="C56" showDropDown="0" showInputMessage="0" showErrorMessage="0" allowBlank="0" type="list">
      <formula1>"No,Yes"</formula1>
      <formula2>0</formula2>
    </dataValidation>
    <dataValidation sqref="C59" showDropDown="0" showInputMessage="0" showErrorMessage="0" allowBlank="0" type="list">
      <formula1>"Private,Government"</formula1>
      <formula2>0</formula2>
    </dataValidation>
  </dataValidations>
  <pageMargins left="0.75" right="0.75" top="1" bottom="1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9"/>
  <sheetViews>
    <sheetView zoomScaleNormal="100" workbookViewId="0">
      <selection activeCell="A1" sqref="A1"/>
    </sheetView>
  </sheetViews>
  <sheetFormatPr baseColWidth="8" defaultColWidth="8.6640625" defaultRowHeight="14.25"/>
  <cols>
    <col width="52" customWidth="1" style="20" min="1" max="1"/>
    <col width="20" customWidth="1" style="20" min="2" max="2"/>
    <col width="22" customWidth="1" style="20" min="3" max="3"/>
    <col width="40" customWidth="1" style="20" min="4" max="4"/>
  </cols>
  <sheetData>
    <row r="1" ht="27.75" customHeight="1" s="20">
      <c r="A1" s="22" t="inlineStr">
        <is>
          <t>CalcGuru</t>
        </is>
      </c>
    </row>
    <row r="2" ht="19.5" customHeight="1" s="20">
      <c r="A2" s="19" t="inlineStr">
        <is>
          <t>Reference - Slabs, Section 10 and Chapter VI-A matrix (AY 2026-27)</t>
        </is>
      </c>
    </row>
    <row r="3" ht="16.5" customHeight="1" s="20">
      <c r="A3" s="23" t="inlineStr">
        <is>
          <t>Income-tax Act 1961 as amended by Finance Act 2025 - FY 2025-26 figures only.</t>
        </is>
      </c>
    </row>
    <row r="5" ht="15" customHeight="1" s="20">
      <c r="A5" s="2" t="inlineStr">
        <is>
          <t>New regime slabs (all ages)</t>
        </is>
      </c>
    </row>
    <row r="6" ht="15" customHeight="1" s="20">
      <c r="A6" s="10" t="inlineStr">
        <is>
          <t>Slab</t>
        </is>
      </c>
      <c r="B6" s="10" t="inlineStr">
        <is>
          <t>Rate</t>
        </is>
      </c>
      <c r="C6" s="10" t="inlineStr">
        <is>
          <t>Cumulative at top</t>
        </is>
      </c>
      <c r="D6" s="10" t="inlineStr">
        <is>
          <t>Notes</t>
        </is>
      </c>
    </row>
    <row r="7" ht="15" customHeight="1" s="20">
      <c r="A7" s="11" t="inlineStr">
        <is>
          <t>0 - 4,00,000</t>
        </is>
      </c>
      <c r="B7" s="11" t="inlineStr">
        <is>
          <t>Nil</t>
        </is>
      </c>
      <c r="C7" s="11" t="inlineStr">
        <is>
          <t>-</t>
        </is>
      </c>
      <c r="D7" s="11" t="inlineStr">
        <is>
          <t>Rebate 87A: tax up to Rs 60,000 wiped if income &lt;= 12,00,000</t>
        </is>
      </c>
    </row>
    <row r="8" ht="15" customHeight="1" s="20">
      <c r="A8" s="11" t="inlineStr">
        <is>
          <t>4 - 8,00,000</t>
        </is>
      </c>
      <c r="B8" s="11" t="inlineStr">
        <is>
          <t>5%</t>
        </is>
      </c>
      <c r="C8" s="11" t="inlineStr">
        <is>
          <t>20,000</t>
        </is>
      </c>
      <c r="D8" s="11" t="inlineStr">
        <is>
          <t>Marginal relief just above 12L: pay only income minus 12L</t>
        </is>
      </c>
    </row>
    <row r="9" ht="15" customHeight="1" s="20">
      <c r="A9" s="11" t="inlineStr">
        <is>
          <t>8 - 12,00,000</t>
        </is>
      </c>
      <c r="B9" s="11" t="inlineStr">
        <is>
          <t>10%</t>
        </is>
      </c>
      <c r="C9" s="11" t="inlineStr">
        <is>
          <t>60,000</t>
        </is>
      </c>
      <c r="D9" s="11" t="inlineStr">
        <is>
          <t>Break-even ~12,70,588</t>
        </is>
      </c>
    </row>
    <row r="10" ht="15" customHeight="1" s="20">
      <c r="A10" s="11" t="inlineStr">
        <is>
          <t>12 - 16,00,000</t>
        </is>
      </c>
      <c r="B10" s="11" t="inlineStr">
        <is>
          <t>15%</t>
        </is>
      </c>
      <c r="C10" s="11" t="inlineStr">
        <is>
          <t>1,20,000</t>
        </is>
      </c>
      <c r="D10" s="11" t="inlineStr">
        <is>
          <t>Standard deduction 75,000</t>
        </is>
      </c>
    </row>
    <row r="11" ht="15" customHeight="1" s="20">
      <c r="A11" s="11" t="inlineStr">
        <is>
          <t>16 - 20,00,000</t>
        </is>
      </c>
      <c r="B11" s="11" t="inlineStr">
        <is>
          <t>20%</t>
        </is>
      </c>
      <c r="C11" s="11" t="inlineStr">
        <is>
          <t>2,00,000</t>
        </is>
      </c>
      <c r="D11" s="11" t="inlineStr">
        <is>
          <t>Surcharge capped 25%</t>
        </is>
      </c>
    </row>
    <row r="12" ht="15" customHeight="1" s="20">
      <c r="A12" s="11" t="inlineStr">
        <is>
          <t>20 - 24,00,000</t>
        </is>
      </c>
      <c r="B12" s="11" t="inlineStr">
        <is>
          <t>25%</t>
        </is>
      </c>
      <c r="C12" s="11" t="inlineStr">
        <is>
          <t>3,00,000</t>
        </is>
      </c>
      <c r="D12" s="11" t="n"/>
    </row>
    <row r="13" ht="15" customHeight="1" s="20">
      <c r="A13" s="11" t="inlineStr">
        <is>
          <t>Above 24,00,000</t>
        </is>
      </c>
      <c r="B13" s="11" t="inlineStr">
        <is>
          <t>30%</t>
        </is>
      </c>
      <c r="C13" s="11" t="inlineStr">
        <is>
          <t>-</t>
        </is>
      </c>
      <c r="D13" s="11" t="n"/>
    </row>
    <row r="15" ht="15" customHeight="1" s="20">
      <c r="A15" s="27" t="inlineStr">
        <is>
          <t>Old regime: exemption 2.5L (&lt;60) / 3L (60-79) / 5L (80+); 5% to 5L; 20% to 10L; 30% above. Rebate 12,500 up to 5L. SD 50,000.</t>
        </is>
      </c>
    </row>
    <row r="17" ht="15" customHeight="1" s="20">
      <c r="A17" s="2" t="inlineStr">
        <is>
          <t>What survives in the NEW regime vs OLD-only</t>
        </is>
      </c>
    </row>
    <row r="18" ht="15" customHeight="1" s="20">
      <c r="A18" s="10" t="inlineStr">
        <is>
          <t>Item</t>
        </is>
      </c>
      <c r="B18" s="10" t="inlineStr">
        <is>
          <t>New regime</t>
        </is>
      </c>
      <c r="C18" s="10" t="inlineStr">
        <is>
          <t>Old regime</t>
        </is>
      </c>
      <c r="D18" s="10" t="inlineStr">
        <is>
          <t>Notes</t>
        </is>
      </c>
    </row>
    <row r="19" ht="15" customHeight="1" s="20">
      <c r="A19" s="12" t="inlineStr">
        <is>
          <t>Standard deduction</t>
        </is>
      </c>
      <c r="B19" s="12" t="inlineStr">
        <is>
          <t>75,000</t>
        </is>
      </c>
      <c r="C19" s="12" t="inlineStr">
        <is>
          <t>50,000</t>
        </is>
      </c>
      <c r="D19" s="12" t="n"/>
    </row>
    <row r="20" ht="22.35" customHeight="1" s="20">
      <c r="A20" s="12" t="inlineStr">
        <is>
          <t>Gratuity 10(10) / Leave encashment 10(10AA) / Commuted pension / VRS / Retrenchment</t>
        </is>
      </c>
      <c r="B20" s="12" t="inlineStr">
        <is>
          <t>Yes</t>
        </is>
      </c>
      <c r="C20" s="12" t="inlineStr">
        <is>
          <t>Yes</t>
        </is>
      </c>
      <c r="D20" s="12" t="inlineStr">
        <is>
          <t>Caps 20L / 25L / - / 5L / 5L</t>
        </is>
      </c>
    </row>
    <row r="21" ht="15" customHeight="1" s="20">
      <c r="A21" s="12" t="inlineStr">
        <is>
          <t>Official-duty allowances 10(14) + transport (specially-abled)</t>
        </is>
      </c>
      <c r="B21" s="12" t="inlineStr">
        <is>
          <t>Yes</t>
        </is>
      </c>
      <c r="C21" s="12" t="inlineStr">
        <is>
          <t>Yes</t>
        </is>
      </c>
      <c r="D21" s="12" t="n"/>
    </row>
    <row r="22" ht="15" customHeight="1" s="20">
      <c r="A22" s="12" t="inlineStr">
        <is>
          <t>HRA / LTA / children education / hostel / food coupons</t>
        </is>
      </c>
      <c r="B22" s="12" t="inlineStr">
        <is>
          <t>No</t>
        </is>
      </c>
      <c r="C22" s="12" t="inlineStr">
        <is>
          <t>Yes</t>
        </is>
      </c>
      <c r="D22" s="12" t="n"/>
    </row>
    <row r="23" ht="15" customHeight="1" s="20">
      <c r="A23" s="12" t="inlineStr">
        <is>
          <t>Professional tax / entertainment allowance (s.16)</t>
        </is>
      </c>
      <c r="B23" s="12" t="inlineStr">
        <is>
          <t>No</t>
        </is>
      </c>
      <c r="C23" s="12" t="inlineStr">
        <is>
          <t>Yes</t>
        </is>
      </c>
      <c r="D23" s="12" t="n"/>
    </row>
    <row r="24" ht="15" customHeight="1" s="20">
      <c r="A24" s="12" t="inlineStr">
        <is>
          <t>80CCD(2) employer NPS</t>
        </is>
      </c>
      <c r="B24" s="12" t="inlineStr">
        <is>
          <t>14% all sectors</t>
        </is>
      </c>
      <c r="C24" s="12" t="inlineStr">
        <is>
          <t>14% govt / 10% pvt</t>
        </is>
      </c>
      <c r="D24" s="12" t="inlineStr">
        <is>
          <t>Employer PF+NPS+SAF above 7.5L = taxable perquisite</t>
        </is>
      </c>
    </row>
    <row r="25" ht="22.35" customHeight="1" s="20">
      <c r="A25" s="12" t="inlineStr">
        <is>
          <t>80C / 80CCD(1B) / 80D / 80E / 80G / 80GG / 80TTA / 80TTB / 80U-DD-DDB</t>
        </is>
      </c>
      <c r="B25" s="12" t="inlineStr">
        <is>
          <t>No</t>
        </is>
      </c>
      <c r="C25" s="12" t="inlineStr">
        <is>
          <t>Yes</t>
        </is>
      </c>
      <c r="D25" s="12" t="n"/>
    </row>
    <row r="26" ht="15" customHeight="1" s="20">
      <c r="A26" s="12" t="inlineStr">
        <is>
          <t>SOP home-loan interest 24(b)</t>
        </is>
      </c>
      <c r="B26" s="12" t="inlineStr">
        <is>
          <t>No</t>
        </is>
      </c>
      <c r="C26" s="12" t="inlineStr">
        <is>
          <t>Up to 2,00,000</t>
        </is>
      </c>
      <c r="D26" s="12" t="n"/>
    </row>
    <row r="27" ht="15" customHeight="1" s="20">
      <c r="A27" s="12" t="inlineStr">
        <is>
          <t>Let-out interest</t>
        </is>
      </c>
      <c r="B27" s="12" t="inlineStr">
        <is>
          <t>Within HP head</t>
        </is>
      </c>
      <c r="C27" s="12" t="inlineStr">
        <is>
          <t>Full; loss set-off cap 2,00,000</t>
        </is>
      </c>
      <c r="D27" s="12" t="inlineStr">
        <is>
          <t>New: let-out loss not set off vs other income</t>
        </is>
      </c>
    </row>
    <row r="28" ht="15" customHeight="1" s="20">
      <c r="A28" s="12" t="inlineStr">
        <is>
          <t>Family pension deduction 57(iia)</t>
        </is>
      </c>
      <c r="B28" s="12" t="inlineStr">
        <is>
          <t>25,000</t>
        </is>
      </c>
      <c r="C28" s="12" t="inlineStr">
        <is>
          <t>15,000</t>
        </is>
      </c>
      <c r="D28" s="12" t="n"/>
    </row>
    <row r="29" ht="22.35" customHeight="1" s="20">
      <c r="A29" s="12" t="inlineStr">
        <is>
          <t>Rebate 87A</t>
        </is>
      </c>
      <c r="B29" s="12" t="inlineStr">
        <is>
          <t>60,000 up to 12L + marginal relief</t>
        </is>
      </c>
      <c r="C29" s="12" t="inlineStr">
        <is>
          <t>12,500 up to 5L</t>
        </is>
      </c>
      <c r="D29" s="12" t="inlineStr">
        <is>
          <t>Slab-rate income only (new)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4">
    <mergeCell ref="A1:D1"/>
    <mergeCell ref="A3:D3"/>
    <mergeCell ref="A2:D2"/>
    <mergeCell ref="A15:D15"/>
  </mergeCells>
  <pageMargins left="0.75" right="0.75" top="1" bottom="1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2026-07-10T10:15:54Z</dcterms:created>
  <dcterms:modified xmlns:dcterms="http://purl.org/dc/terms/" xmlns:xsi="http://www.w3.org/2001/XMLSchema-instance" xsi:type="dcterms:W3CDTF">2026-07-11T15:31:04Z</dcterms:modified>
  <cp:lastModifiedBy>Tirumalesh Malla</cp:lastModifiedBy>
  <cp:revision>0</cp:revision>
</cp:coreProperties>
</file>