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98" yWindow="-98" windowWidth="21795" windowHeight="12975" tabRatio="600" firstSheet="0" activeTab="1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Computation" sheetId="2" state="visible" r:id="rId2"/>
    <sheet xmlns:r="http://schemas.openxmlformats.org/officeDocument/2006/relationships" name="Reference" sheetId="3" state="visible" r:id="rId3"/>
  </sheets>
  <definedNames/>
  <calcPr calcId="191029" fullCalcOnLoad="1" iterateDelta="0.0001"/>
</workbook>
</file>

<file path=xl/styles.xml><?xml version="1.0" encoding="utf-8"?>
<styleSheet xmlns="http://schemas.openxmlformats.org/spreadsheetml/2006/main">
  <numFmts count="1">
    <numFmt numFmtId="164" formatCode="0.0%"/>
  </numFmts>
  <fonts count="13">
    <font>
      <name val="Calibri"/>
      <charset val="1"/>
      <family val="2"/>
      <color theme="1"/>
      <sz val="11"/>
    </font>
    <font>
      <name val="Cambria"/>
      <charset val="1"/>
      <b val="1"/>
      <color rgb="FFFFFFFF"/>
      <sz val="18"/>
    </font>
    <font>
      <name val="Cambria"/>
      <charset val="1"/>
      <b val="1"/>
      <color rgb="FFFFFFFF"/>
      <sz val="12"/>
    </font>
    <font>
      <name val="Cambria"/>
      <charset val="1"/>
      <color rgb="FFFFFFFF"/>
      <sz val="10"/>
    </font>
    <font>
      <name val="Cambria"/>
      <charset val="1"/>
      <b val="1"/>
      <color rgb="FF1E3A8A"/>
      <sz val="10"/>
    </font>
    <font>
      <name val="Cambria"/>
      <charset val="1"/>
      <b val="1"/>
      <color rgb="FF1E3A8A"/>
      <sz val="11"/>
    </font>
    <font>
      <name val="Cambria"/>
      <charset val="1"/>
      <sz val="10"/>
    </font>
    <font>
      <name val="Cambria"/>
      <charset val="1"/>
      <color rgb="FF64748B"/>
      <sz val="8"/>
    </font>
    <font>
      <name val="Cambria"/>
      <charset val="1"/>
      <b val="1"/>
      <sz val="10"/>
    </font>
    <font>
      <name val="Cambria"/>
      <charset val="1"/>
      <b val="1"/>
      <color rgb="FFFFFFFF"/>
      <sz val="10"/>
    </font>
    <font>
      <name val="Cambria"/>
      <charset val="1"/>
      <b val="1"/>
      <sz val="11"/>
    </font>
    <font>
      <name val="Cambria"/>
      <charset val="1"/>
      <b val="1"/>
      <color rgb="FFFFFFFF"/>
      <sz val="9"/>
    </font>
    <font>
      <name val="Cambria"/>
      <charset val="1"/>
      <sz val="9"/>
    </font>
  </fonts>
  <fills count="7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EDD5"/>
      </patternFill>
    </fill>
    <fill>
      <patternFill patternType="solid">
        <fgColor rgb="FFEFF6FF"/>
        <bgColor rgb="FFFFFFFF"/>
      </patternFill>
    </fill>
    <fill>
      <patternFill patternType="solid">
        <fgColor rgb="FFFFEDD5"/>
        <bgColor rgb="FFFFF7CC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4" fillId="0" borderId="0" applyAlignment="1" pivotButton="0" quotePrefix="0" xfId="0">
      <alignment vertical="top" wrapText="1"/>
    </xf>
    <xf numFmtId="0" fontId="5" fillId="0" borderId="0" pivotButton="0" quotePrefix="0" xfId="0"/>
    <xf numFmtId="0" fontId="6" fillId="0" borderId="0" pivotButton="0" quotePrefix="0" xfId="0"/>
    <xf numFmtId="0" fontId="8" fillId="0" borderId="0" pivotButton="0" quotePrefix="0" xfId="0"/>
    <xf numFmtId="0" fontId="7" fillId="0" borderId="0" pivotButton="0" quotePrefix="0" xfId="0"/>
    <xf numFmtId="0" fontId="9" fillId="2" borderId="0" pivotButton="0" quotePrefix="0" xfId="0"/>
    <xf numFmtId="0" fontId="9" fillId="2" borderId="1" applyAlignment="1" pivotButton="0" quotePrefix="0" xfId="0">
      <alignment horizontal="center"/>
    </xf>
    <xf numFmtId="0" fontId="11" fillId="2" borderId="1" applyAlignment="1" pivotButton="0" quotePrefix="0" xfId="0">
      <alignment wrapText="1"/>
    </xf>
    <xf numFmtId="0" fontId="12" fillId="0" borderId="1" applyAlignment="1" pivotButton="0" quotePrefix="0" xfId="0">
      <alignment vertical="top" wrapText="1"/>
    </xf>
    <xf numFmtId="49" fontId="0" fillId="4" borderId="1" applyProtection="1" pivotButton="0" quotePrefix="0" xfId="0">
      <protection locked="0" hidden="0"/>
    </xf>
    <xf numFmtId="3" fontId="0" fillId="5" borderId="1" applyProtection="1" pivotButton="0" quotePrefix="0" xfId="0">
      <protection locked="1" hidden="1"/>
    </xf>
    <xf numFmtId="3" fontId="0" fillId="4" borderId="1" applyProtection="1" pivotButton="0" quotePrefix="0" xfId="0">
      <protection locked="0" hidden="0"/>
    </xf>
    <xf numFmtId="10" fontId="0" fillId="5" borderId="1" applyProtection="1" pivotButton="0" quotePrefix="0" xfId="0">
      <protection locked="1" hidden="1"/>
    </xf>
    <xf numFmtId="3" fontId="10" fillId="6" borderId="1" applyProtection="1" pivotButton="0" quotePrefix="0" xfId="0">
      <protection locked="1" hidden="1"/>
    </xf>
    <xf numFmtId="164" fontId="0" fillId="5" borderId="1" applyProtection="1" pivotButton="0" quotePrefix="0" xfId="0">
      <protection locked="1" hidden="1"/>
    </xf>
    <xf numFmtId="0" fontId="2" fillId="2" borderId="0" applyAlignment="1" pivotButton="0" quotePrefix="0" xfId="0">
      <alignment vertical="center"/>
    </xf>
    <xf numFmtId="0" fontId="0" fillId="0" borderId="0" pivotButton="0" quotePrefix="0" xfId="0"/>
    <xf numFmtId="0" fontId="0" fillId="0" borderId="0" applyAlignment="1" pivotButton="0" quotePrefix="0" xfId="0">
      <alignment vertical="top" wrapText="1"/>
    </xf>
    <xf numFmtId="0" fontId="1" fillId="2" borderId="0" applyAlignment="1" pivotButton="0" quotePrefix="0" xfId="0">
      <alignment vertical="center"/>
    </xf>
    <xf numFmtId="0" fontId="3" fillId="3" borderId="0" applyAlignment="1" pivotButton="0" quotePrefix="0" xfId="0">
      <alignment vertical="center"/>
    </xf>
    <xf numFmtId="0" fontId="7" fillId="0" borderId="0" applyAlignment="1" pivotButton="0" quotePrefix="0" xfId="0">
      <alignment vertical="center" wrapText="1"/>
    </xf>
    <xf numFmtId="0" fontId="2" fillId="3" borderId="0" applyAlignment="1" applyProtection="1" pivotButton="0" quotePrefix="0" xfId="0">
      <alignment vertical="center"/>
      <protection locked="1" hidden="1"/>
    </xf>
    <xf numFmtId="0" fontId="12" fillId="0" borderId="0" applyAlignment="1" pivotButton="0" quotePrefix="0" xfId="0">
      <alignment wrapText="1"/>
    </xf>
    <xf numFmtId="0" fontId="12" fillId="0" borderId="0" pivotButton="0" quotePrefix="0" xfId="0"/>
    <xf numFmtId="49" fontId="0" fillId="4" borderId="1" applyAlignment="1" applyProtection="1" pivotButton="0" quotePrefix="0" xfId="0">
      <alignment horizontal="right" vertical="center"/>
      <protection locked="0" hidden="0"/>
    </xf>
    <xf numFmtId="3" fontId="0" fillId="5" borderId="1" applyAlignment="1" applyProtection="1" pivotButton="0" quotePrefix="0" xfId="0">
      <alignment horizontal="right" vertical="center"/>
      <protection locked="1" hidden="1"/>
    </xf>
    <xf numFmtId="3" fontId="0" fillId="4" borderId="1" applyAlignment="1" applyProtection="1" pivotButton="0" quotePrefix="0" xfId="0">
      <alignment horizontal="right" vertical="center"/>
      <protection locked="0" hidden="0"/>
    </xf>
    <xf numFmtId="0" fontId="9" fillId="2" borderId="1" applyAlignment="1" pivotButton="0" quotePrefix="0" xfId="0">
      <alignment horizontal="right" vertical="center"/>
    </xf>
    <xf numFmtId="10" fontId="0" fillId="5" borderId="1" applyAlignment="1" applyProtection="1" pivotButton="0" quotePrefix="0" xfId="0">
      <alignment horizontal="right" vertical="center"/>
      <protection locked="1" hidden="1"/>
    </xf>
    <xf numFmtId="3" fontId="10" fillId="6" borderId="1" applyAlignment="1" applyProtection="1" pivotButton="0" quotePrefix="0" xfId="0">
      <alignment horizontal="right" vertical="center"/>
      <protection locked="1" hidden="1"/>
    </xf>
    <xf numFmtId="164" fontId="0" fillId="5" borderId="1" applyAlignment="1" applyProtection="1" pivotButton="0" quotePrefix="0" xfId="0">
      <alignment horizontal="right" vertical="center"/>
      <protection locked="1" hidden="1"/>
    </xf>
    <xf numFmtId="0" fontId="0" fillId="0" borderId="0" applyProtection="1" pivotButton="0" quotePrefix="0" xfId="0">
      <protection locked="1" hidden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EFF6FF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DD5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zoomScaleNormal="100" workbookViewId="0">
      <selection activeCell="A1" sqref="A1:F1"/>
    </sheetView>
  </sheetViews>
  <sheetFormatPr baseColWidth="8" defaultColWidth="8.6640625" defaultRowHeight="14.25"/>
  <cols>
    <col width="20" customWidth="1" style="17" min="1" max="1"/>
    <col width="22" customWidth="1" style="17" min="2" max="6"/>
  </cols>
  <sheetData>
    <row r="1" ht="27.75" customHeight="1" s="17">
      <c r="A1" s="19" t="inlineStr">
        <is>
          <t>CalcGuru</t>
        </is>
      </c>
    </row>
    <row r="2" ht="19.5" customHeight="1" s="17">
      <c r="A2" s="16" t="inlineStr">
        <is>
          <t>Advanced Income Tax Calculator - AY 2026-27 (FY 2025-26) - All Heads, Old vs New Regime</t>
        </is>
      </c>
    </row>
    <row r="3" ht="16.5" customHeight="1" s="17">
      <c r="A3" s="20" t="inlineStr">
        <is>
          <t>Prepared by CA Tirumalesh Malla | calcguru.in - free, no signup | Version 1.1</t>
        </is>
      </c>
    </row>
    <row r="5" ht="45" customHeight="1" s="17">
      <c r="A5" s="1" t="inlineStr">
        <is>
          <t>About</t>
        </is>
      </c>
      <c r="B5" s="18" t="inlineStr">
        <is>
          <t>Complete computation across all five heads of income - salary, house property, business/profession, capital gains and other sources - with Old and New regime side by side for AY 2026-27 (FY 2025-26). Built for CAs, traders, landlords and investors.</t>
        </is>
      </c>
    </row>
    <row r="6" ht="75" customHeight="1" s="17">
      <c r="A6" s="1" t="inlineStr">
        <is>
          <t>Capital gains engine</t>
        </is>
      </c>
      <c r="B6" s="18" t="inlineStr">
        <is>
          <t>Post-23-July-2024 rates for the full year: STCG u/s 111A at 20%; LTCG u/s 112A at 12.5% above the Rs 1,25,000 exemption; other LTCG u/s 112 at 12.5% without indexation - including the resident option for land/building acquired before 23-7-2024 (lower of 12.5% without indexation or 20% with indexation). Unexhausted basic exemption automatically adjusts against gains for residents.</t>
        </is>
      </c>
    </row>
    <row r="7" ht="45" customHeight="1" s="17">
      <c r="A7" s="1" t="inlineStr">
        <is>
          <t>Residency aware</t>
        </is>
      </c>
      <c r="B7" s="18" t="inlineStr">
        <is>
          <t>A Non-Resident selection switches off the 87A rebate, the basic-exemption adjustment against capital gains, senior-citizen slabs, the section 112 indexation option and 80TTB - the switches most sheets ignore.</t>
        </is>
      </c>
    </row>
    <row r="8" ht="45" customHeight="1" s="17">
      <c r="A8" s="1" t="inlineStr">
        <is>
          <t>Also correct</t>
        </is>
      </c>
      <c r="B8" s="18" t="inlineStr">
        <is>
          <t>87A marginal relief (new regime, slab income only per Finance Act 2025); rebate never against 112A in the old regime; surcharge capped at 15% on capital-gains taxes with marginal relief at each threshold; casual income (lottery/online winnings) at flat 30% kept out of slabs.</t>
        </is>
      </c>
    </row>
    <row r="9" ht="45" customHeight="1" s="17">
      <c r="A9" s="1" t="inlineStr">
        <is>
          <t>Method notes</t>
        </is>
      </c>
      <c r="B9" s="18" t="inlineStr">
        <is>
          <t>VI-A deductions apply against normal income only. Basic-exemption adjustment order: 111A, then 112, then 112A. Dividend surcharge cap and multi-asset grandfathering are simplified - see the Reference sheet. Verify against the e-filing utility before filing.</t>
        </is>
      </c>
    </row>
    <row r="10" ht="30" customHeight="1" s="17">
      <c r="A10" s="1" t="inlineStr">
        <is>
          <t>Simpler needs?</t>
        </is>
      </c>
      <c r="B10" s="18" t="inlineStr">
        <is>
          <t>Salaried-only? Use the lighter Income Tax Calculator (Salaried) Excel or the online calculators at calcguru.in.</t>
        </is>
      </c>
    </row>
    <row r="11" ht="15" customHeight="1" s="17">
      <c r="A11" s="1" t="inlineStr">
        <is>
          <t>Disclaimer</t>
        </is>
      </c>
      <c r="B11" s="18" t="inlineStr">
        <is>
          <t>Indicative computation for planning and cross-checking. Not professional advice.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10">
    <mergeCell ref="A2:F2"/>
    <mergeCell ref="B7:F7"/>
    <mergeCell ref="B6:F6"/>
    <mergeCell ref="B10:F10"/>
    <mergeCell ref="B11:F11"/>
    <mergeCell ref="A1:F1"/>
    <mergeCell ref="B5:F5"/>
    <mergeCell ref="B8:F8"/>
    <mergeCell ref="A3:F3"/>
    <mergeCell ref="B9:F9"/>
  </mergeCells>
  <pageMargins left="0.75" right="0.75" top="1" bottom="1" header="0.511811023622047" footer="0.511811023622047"/>
  <pageSetup orientation="portrait" paperSize="9" horizontalDpi="300" verticalDpi="3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6"/>
  <sheetViews>
    <sheetView tabSelected="1" topLeftCell="A3" zoomScaleNormal="100" workbookViewId="0">
      <selection activeCell="C14" sqref="C14"/>
    </sheetView>
  </sheetViews>
  <sheetFormatPr baseColWidth="8" defaultColWidth="8.6640625" defaultRowHeight="14.25"/>
  <cols>
    <col width="4" customWidth="1" style="17" min="1" max="1"/>
    <col width="58" customWidth="1" style="17" min="2" max="2"/>
    <col width="16" customWidth="1" style="17" min="3" max="4"/>
    <col width="24" customWidth="1" style="17" min="5" max="6"/>
  </cols>
  <sheetData>
    <row r="1" ht="27.75" customHeight="1" s="17">
      <c r="A1" s="19" t="inlineStr">
        <is>
          <t>CalcGuru</t>
        </is>
      </c>
    </row>
    <row r="2" ht="19.5" customHeight="1" s="17">
      <c r="A2" s="16" t="inlineStr">
        <is>
          <t>Advanced Income Tax Calculator - AY 2026-27 (FY 2025-26) - All Heads, Old vs New Regime</t>
        </is>
      </c>
    </row>
    <row r="3" ht="16.5" customHeight="1" s="17">
      <c r="A3" s="20" t="inlineStr">
        <is>
          <t>Fill the YELLOW cells only. Blue cells compute. Amounts in Rupees per year.</t>
        </is>
      </c>
    </row>
    <row r="5" ht="15" customHeight="1" s="17">
      <c r="A5" s="2" t="inlineStr">
        <is>
          <t>1. Assessee</t>
        </is>
      </c>
    </row>
    <row r="6" ht="15" customHeight="1" s="17">
      <c r="B6" s="3" t="inlineStr">
        <is>
          <t>Name</t>
        </is>
      </c>
      <c r="C6" s="25" t="n"/>
    </row>
    <row r="7" ht="15" customHeight="1" s="17">
      <c r="B7" s="3" t="inlineStr">
        <is>
          <t>PAN (optional)</t>
        </is>
      </c>
      <c r="C7" s="25" t="n"/>
    </row>
    <row r="8" ht="15" customHeight="1" s="17">
      <c r="B8" s="3" t="inlineStr">
        <is>
          <t>Age category</t>
        </is>
      </c>
      <c r="C8" s="25" t="inlineStr">
        <is>
          <t>Below 60</t>
        </is>
      </c>
    </row>
    <row r="9" ht="19.45" customHeight="1" s="17">
      <c r="B9" s="3" t="inlineStr">
        <is>
          <t>Residential status</t>
        </is>
      </c>
      <c r="C9" s="25" t="inlineStr">
        <is>
          <t>Resident / RNOR</t>
        </is>
      </c>
      <c r="E9" s="21" t="inlineStr">
        <is>
          <t>Non-Resident switches off 87A, CG exemption adjustment, senior slabs, 112 indexation option, 80TTB</t>
        </is>
      </c>
    </row>
    <row r="10" ht="15" customHeight="1" s="17">
      <c r="B10" s="3" t="inlineStr">
        <is>
          <t>Old-regime basic exemption (auto)</t>
        </is>
      </c>
      <c r="C10" s="26">
        <f>IF(C9="Non-Resident",250000,IF(C8="Super Senior (80+)",500000,IF(C8="Senior (60-79)",300000,250000)))</f>
        <v/>
      </c>
    </row>
    <row r="11"/>
    <row r="12" ht="15" customHeight="1" s="17">
      <c r="A12" s="2" t="inlineStr">
        <is>
          <t>2. Salary</t>
        </is>
      </c>
    </row>
    <row r="13" ht="15" customHeight="1" s="17">
      <c r="B13" s="3" t="inlineStr">
        <is>
          <t>Gross salary / pension (incl. taxable allowances, perquisites)</t>
        </is>
      </c>
      <c r="C13" s="27" t="n">
        <v>2400000</v>
      </c>
    </row>
    <row r="14" ht="19.45" customHeight="1" s="17">
      <c r="B14" s="3" t="inlineStr">
        <is>
          <t>Sec 10 exemptions - available in BOTH regimes</t>
        </is>
      </c>
      <c r="C14" s="27" t="n">
        <v>0</v>
      </c>
      <c r="E14" s="21" t="inlineStr">
        <is>
          <t>Gratuity/leave encashment/commuted pension/VRS etc - enter total exempt amount</t>
        </is>
      </c>
    </row>
    <row r="15" ht="15" customHeight="1" s="17">
      <c r="B15" s="3" t="inlineStr">
        <is>
          <t>Sec 10 exemptions - OLD regime only</t>
        </is>
      </c>
      <c r="C15" s="27" t="n">
        <v>0</v>
      </c>
      <c r="E15" s="21" t="inlineStr">
        <is>
          <t>HRA, LTA, children education, food coupons etc</t>
        </is>
      </c>
    </row>
    <row r="16" ht="15" customHeight="1" s="17">
      <c r="B16" s="3" t="inlineStr">
        <is>
          <t>Professional tax u/s 16(iii) - OLD only</t>
        </is>
      </c>
      <c r="C16" s="27" t="n">
        <v>0</v>
      </c>
    </row>
    <row r="17"/>
    <row r="18" ht="15" customHeight="1" s="17">
      <c r="A18" s="2" t="inlineStr">
        <is>
          <t>3. House property</t>
        </is>
      </c>
    </row>
    <row r="19" ht="15" customHeight="1" s="17">
      <c r="B19" s="3" t="inlineStr">
        <is>
          <t>Self-occupied: interest u/s 24(b)</t>
        </is>
      </c>
      <c r="C19" s="27" t="n">
        <v>0</v>
      </c>
      <c r="E19" s="21" t="inlineStr">
        <is>
          <t>Old cap 2,00,000; NIL in new regime</t>
        </is>
      </c>
    </row>
    <row r="20" ht="15" customHeight="1" s="17">
      <c r="B20" s="3" t="inlineStr">
        <is>
          <t>Let-out: annual rent received</t>
        </is>
      </c>
      <c r="C20" s="27" t="n">
        <v>280000</v>
      </c>
    </row>
    <row r="21" ht="15" customHeight="1" s="17">
      <c r="B21" s="3" t="inlineStr">
        <is>
          <t>Let-out: municipal taxes paid</t>
        </is>
      </c>
      <c r="C21" s="27" t="n">
        <v>0</v>
      </c>
    </row>
    <row r="22" ht="15" customHeight="1" s="17">
      <c r="B22" s="3" t="inlineStr">
        <is>
          <t>Let-out: interest u/s 24(b)</t>
        </is>
      </c>
      <c r="C22" s="27" t="n">
        <v>0</v>
      </c>
    </row>
    <row r="23" ht="15" customHeight="1" s="17">
      <c r="B23" s="4" t="inlineStr">
        <is>
          <t>Let-out income / (loss) after 30% standard deduction (auto)</t>
        </is>
      </c>
      <c r="C23" s="26">
        <f>IF(C20=0,0,ROUND((C20-C21)*0.7-C22,0))</f>
        <v/>
      </c>
    </row>
    <row r="24"/>
    <row r="25" ht="15" customHeight="1" s="17">
      <c r="A25" s="2" t="inlineStr">
        <is>
          <t>4. Business / Profession</t>
        </is>
      </c>
    </row>
    <row r="26" ht="19.45" customHeight="1" s="17">
      <c r="B26" s="3" t="inlineStr">
        <is>
          <t>Net taxable business / professional income</t>
        </is>
      </c>
      <c r="C26" s="27" t="n">
        <v>0</v>
      </c>
      <c r="E26" s="21" t="inlineStr">
        <is>
          <t>Net profit per books adjusted for tax, or presumptive income (44AD 6-8% / 44ADA 50%)</t>
        </is>
      </c>
    </row>
    <row r="27"/>
    <row r="28" ht="15" customHeight="1" s="17">
      <c r="A28" s="2" t="inlineStr">
        <is>
          <t>5. Capital gains (post-23-7-2024 rates apply all year)</t>
        </is>
      </c>
    </row>
    <row r="29" ht="15" customHeight="1" s="17">
      <c r="B29" s="3" t="inlineStr">
        <is>
          <t>STCG u/s 111A - listed equity / equity MF (STT paid)</t>
        </is>
      </c>
      <c r="C29" s="27" t="n">
        <v>0</v>
      </c>
      <c r="E29" s="21" t="inlineStr">
        <is>
          <t>Taxed 20%</t>
        </is>
      </c>
    </row>
    <row r="30" ht="15" customHeight="1" s="17">
      <c r="B30" s="3" t="inlineStr">
        <is>
          <t>LTCG u/s 112A - listed equity / equity MF (gross)</t>
        </is>
      </c>
      <c r="C30" s="27" t="n">
        <v>0</v>
      </c>
      <c r="E30" s="21" t="inlineStr">
        <is>
          <t>12.5% above Rs 1,25,000 exemption (auto)</t>
        </is>
      </c>
    </row>
    <row r="31" ht="15" customHeight="1" s="17">
      <c r="B31" s="3" t="inlineStr">
        <is>
          <t>LTCG u/s 112 - property / gold / unlisted (WITHOUT indexation)</t>
        </is>
      </c>
      <c r="C31" s="27" t="n">
        <v>0</v>
      </c>
      <c r="E31" s="21" t="inlineStr">
        <is>
          <t>Taxed 12.5%</t>
        </is>
      </c>
    </row>
    <row r="32" ht="15" customHeight="1" s="17">
      <c r="B32" s="3" t="inlineStr">
        <is>
          <t>Land/building acquired BEFORE 23-7-2024? (residents)</t>
        </is>
      </c>
      <c r="C32" s="25" t="inlineStr">
        <is>
          <t>No</t>
        </is>
      </c>
      <c r="E32" s="21" t="inlineStr">
        <is>
          <t>Enables lower-of option vs 20% indexed</t>
        </is>
      </c>
    </row>
    <row r="33" ht="15" customHeight="1" s="17">
      <c r="B33" s="3" t="inlineStr">
        <is>
          <t>If Yes: the same gain computed WITH indexation</t>
        </is>
      </c>
      <c r="C33" s="27" t="n">
        <v>0</v>
      </c>
      <c r="E33" s="21" t="inlineStr">
        <is>
          <t>Tax = lower of 12.5% of row above or 20% of this</t>
        </is>
      </c>
    </row>
    <row r="34" ht="15" customHeight="1" s="17">
      <c r="B34" s="3" t="inlineStr">
        <is>
          <t>Other STCG (property under 24m, gold, debt) - slab rates</t>
        </is>
      </c>
      <c r="C34" s="27" t="n">
        <v>0</v>
      </c>
    </row>
    <row r="35"/>
    <row r="36" ht="15" customHeight="1" s="17">
      <c r="A36" s="2" t="inlineStr">
        <is>
          <t>6. Other sources</t>
        </is>
      </c>
    </row>
    <row r="37" ht="15" customHeight="1" s="17">
      <c r="B37" s="3" t="inlineStr">
        <is>
          <t>Savings account interest</t>
        </is>
      </c>
      <c r="C37" s="27" t="n">
        <v>0</v>
      </c>
    </row>
    <row r="38" ht="15" customHeight="1" s="17">
      <c r="B38" s="3" t="inlineStr">
        <is>
          <t>FD / RD / other deposit interest</t>
        </is>
      </c>
      <c r="C38" s="27" t="n">
        <v>0</v>
      </c>
    </row>
    <row r="39" ht="15" customHeight="1" s="17">
      <c r="B39" s="3" t="inlineStr">
        <is>
          <t>Dividend income</t>
        </is>
      </c>
      <c r="C39" s="27" t="n">
        <v>0</v>
      </c>
    </row>
    <row r="40" ht="15" customHeight="1" s="17">
      <c r="B40" s="3" t="inlineStr">
        <is>
          <t>Family pension received</t>
        </is>
      </c>
      <c r="C40" s="27" t="n">
        <v>0</v>
      </c>
      <c r="E40" s="21" t="inlineStr">
        <is>
          <t>57(iia) auto: 25K new / 15K old</t>
        </is>
      </c>
    </row>
    <row r="41" ht="15" customHeight="1" s="17">
      <c r="B41" s="3" t="inlineStr">
        <is>
          <t>Lottery / online game winnings (115BB/115BBJ)</t>
        </is>
      </c>
      <c r="C41" s="27" t="n">
        <v>0</v>
      </c>
      <c r="E41" s="21" t="inlineStr">
        <is>
          <t>Flat 30%, no exemption adjustment, no rebate</t>
        </is>
      </c>
    </row>
    <row r="42" ht="15" customHeight="1" s="17">
      <c r="B42" s="3" t="inlineStr">
        <is>
          <t>Any other income at slab rates</t>
        </is>
      </c>
      <c r="C42" s="27" t="n">
        <v>0</v>
      </c>
    </row>
    <row r="43"/>
    <row r="44" ht="15" customHeight="1" s="17">
      <c r="A44" s="2" t="inlineStr">
        <is>
          <t>7. Chapter VI-A deductions (against normal income only)</t>
        </is>
      </c>
    </row>
    <row r="45" ht="15" customHeight="1" s="17">
      <c r="B45" s="3" t="inlineStr">
        <is>
          <t>80C (cap 1.5L)</t>
        </is>
      </c>
      <c r="C45" s="27" t="n">
        <v>0</v>
      </c>
    </row>
    <row r="46" ht="15" customHeight="1" s="17">
      <c r="B46" s="3" t="inlineStr">
        <is>
          <t>80CCD(1B) (cap 50K)</t>
        </is>
      </c>
      <c r="C46" s="27" t="n">
        <v>0</v>
      </c>
    </row>
    <row r="47" ht="15" customHeight="1" s="17">
      <c r="B47" s="3" t="inlineStr">
        <is>
          <t>80D - self/spouse/children</t>
        </is>
      </c>
      <c r="C47" s="27" t="n">
        <v>0</v>
      </c>
      <c r="E47" s="21" t="inlineStr">
        <is>
          <t>Cap 25K/50K by age</t>
        </is>
      </c>
    </row>
    <row r="48" ht="15" customHeight="1" s="17">
      <c r="B48" s="3" t="inlineStr">
        <is>
          <t>80D - parents</t>
        </is>
      </c>
      <c r="C48" s="27" t="n">
        <v>0</v>
      </c>
    </row>
    <row r="49" ht="15" customHeight="1" s="17">
      <c r="B49" s="3" t="inlineStr">
        <is>
          <t>Parents senior (60+)?</t>
        </is>
      </c>
      <c r="C49" s="25" t="inlineStr">
        <is>
          <t>No</t>
        </is>
      </c>
    </row>
    <row r="50" ht="15" customHeight="1" s="17">
      <c r="B50" s="3" t="inlineStr">
        <is>
          <t>80CCD(2) - employer NPS (both regimes)</t>
        </is>
      </c>
      <c r="C50" s="27" t="n">
        <v>0</v>
      </c>
    </row>
    <row r="51" ht="15" customHeight="1" s="17">
      <c r="B51" s="3" t="inlineStr">
        <is>
          <t>Basic salary + DA (for NPS cap)</t>
        </is>
      </c>
      <c r="C51" s="27" t="n">
        <v>0</v>
      </c>
      <c r="E51" s="21" t="inlineStr">
        <is>
          <t>14% new all | old 14% govt / 10% pvt</t>
        </is>
      </c>
    </row>
    <row r="52" ht="15" customHeight="1" s="17">
      <c r="B52" s="3" t="inlineStr">
        <is>
          <t>Sector</t>
        </is>
      </c>
      <c r="C52" s="25" t="inlineStr">
        <is>
          <t>Private</t>
        </is>
      </c>
    </row>
    <row r="53" ht="15" customHeight="1" s="17">
      <c r="B53" s="3" t="inlineStr">
        <is>
          <t>80E education loan interest</t>
        </is>
      </c>
      <c r="C53" s="27" t="n">
        <v>0</v>
      </c>
    </row>
    <row r="54" ht="15" customHeight="1" s="17">
      <c r="B54" s="3" t="inlineStr">
        <is>
          <t>80G donations (eligible amount)</t>
        </is>
      </c>
      <c r="C54" s="27" t="n">
        <v>0</v>
      </c>
    </row>
    <row r="55" ht="15" customHeight="1" s="17">
      <c r="B55" s="3" t="inlineStr">
        <is>
          <t>80GG rent (no HRA)</t>
        </is>
      </c>
      <c r="C55" s="27" t="n">
        <v>0</v>
      </c>
    </row>
    <row r="56" ht="15" customHeight="1" s="17">
      <c r="B56" s="3" t="inlineStr">
        <is>
          <t>80U / 80DD / 80DDB (RESIDENTS only)</t>
        </is>
      </c>
      <c r="C56" s="27" t="n">
        <v>0</v>
      </c>
      <c r="E56" s="21" t="inlineStr">
        <is>
          <t>Auto-zero for Non-Resident</t>
        </is>
      </c>
    </row>
    <row r="57" ht="15" customHeight="1" s="17">
      <c r="B57" s="3" t="inlineStr">
        <is>
          <t>Other deductions</t>
        </is>
      </c>
      <c r="C57" s="27" t="n">
        <v>0</v>
      </c>
    </row>
    <row r="58" ht="15" customHeight="1" s="17">
      <c r="B58" s="5" t="inlineStr">
        <is>
          <t>80TTA/80TTB auto (old regime): TTA 10K; TTB 50K resident seniors only</t>
        </is>
      </c>
    </row>
    <row r="59"/>
    <row r="60" ht="15" customHeight="1" s="17">
      <c r="A60" s="2" t="inlineStr">
        <is>
          <t>8. Statement of income and tax - Old vs New Regime</t>
        </is>
      </c>
    </row>
    <row r="61" ht="15" customHeight="1" s="17">
      <c r="B61" s="6" t="inlineStr">
        <is>
          <t>Particulars</t>
        </is>
      </c>
      <c r="C61" s="28" t="inlineStr">
        <is>
          <t>OLD Regime (Rs)</t>
        </is>
      </c>
      <c r="D61" s="28" t="inlineStr">
        <is>
          <t>NEW Regime (Rs)</t>
        </is>
      </c>
    </row>
    <row r="62" ht="15" customHeight="1" s="17">
      <c r="B62" s="3" t="inlineStr">
        <is>
          <t>Net salary income</t>
        </is>
      </c>
      <c r="C62" s="26">
        <f>MAX(0,C13-C14-C15-MIN(50000,MAX(0,C13-C14-C15))-C16)</f>
        <v/>
      </c>
      <c r="D62" s="26">
        <f>MAX(0,C13-C14-MIN(75000,MAX(0,C13-C14)))</f>
        <v/>
      </c>
    </row>
    <row r="63" ht="15" customHeight="1" s="17">
      <c r="B63" s="3" t="inlineStr">
        <is>
          <t>House property income / (loss) after regime rules</t>
        </is>
      </c>
      <c r="C63" s="26">
        <f>MAX(-200000,C23-MIN(C19,200000))</f>
        <v/>
      </c>
      <c r="D63" s="26">
        <f>MAX(0,C23)</f>
        <v/>
      </c>
    </row>
    <row r="64" ht="15" customHeight="1" s="17">
      <c r="B64" s="3" t="inlineStr">
        <is>
          <t>Business / profession income</t>
        </is>
      </c>
      <c r="C64" s="26">
        <f>C26</f>
        <v/>
      </c>
      <c r="D64" s="26">
        <f>C26</f>
        <v/>
      </c>
    </row>
    <row r="65" ht="15" customHeight="1" s="17">
      <c r="B65" s="3" t="inlineStr">
        <is>
          <t>Other sources at slab (interest, dividend, family pension net, other STCG)</t>
        </is>
      </c>
      <c r="C65" s="26">
        <f>C37+C38+C39+C42+C34+MAX(0,C40-MIN(15000,C40/3))</f>
        <v/>
      </c>
      <c r="D65" s="26">
        <f>C37+C38+C39+C42+C34+MAX(0,C40-MIN(25000,C40/3))</f>
        <v/>
      </c>
    </row>
    <row r="66" ht="15" customHeight="1" s="17">
      <c r="B66" s="4" t="inlineStr">
        <is>
          <t>NORMAL income - gross total (before Chapter VI-A)</t>
        </is>
      </c>
      <c r="C66" s="26">
        <f>MAX(0,C62+C63+C64+C65)</f>
        <v/>
      </c>
      <c r="D66" s="26">
        <f>MAX(0,D62+D63+D64+D65)</f>
        <v/>
      </c>
    </row>
    <row r="67" ht="15" customHeight="1" s="17">
      <c r="B67" s="3" t="inlineStr">
        <is>
          <t>Less: Chapter VI-A (old full; new 80CCD(2) only)</t>
        </is>
      </c>
      <c r="C67" s="26">
        <f>MIN(C66,MIN(C45,150000)+MIN(C46,50000)+MIN(C47,IF(C8="Below 60",25000,50000))+MIN(C48,IF(C49="Yes",50000,25000))+MIN(C50,C51*IF(C52="Government",0.14,0.1))+IF(OR(C8="Below 60",C9="Non-Resident"),MIN(C37,10000),MIN(C37+C38,50000))+C53+C54+C55+IF((C9&lt;&gt;"Non-Resident"),C56,0)+C57)</f>
        <v/>
      </c>
      <c r="D67" s="26">
        <f>MIN(D66,MIN(C50,C51*0.14))</f>
        <v/>
      </c>
    </row>
    <row r="68" ht="15" customHeight="1" s="17">
      <c r="B68" s="4" t="inlineStr">
        <is>
          <t>NORMAL taxable income</t>
        </is>
      </c>
      <c r="C68" s="26">
        <f>MAX(0,ROUND(C66-C67,0))</f>
        <v/>
      </c>
      <c r="D68" s="26">
        <f>MAX(0,ROUND(D66-D67,0))</f>
        <v/>
      </c>
    </row>
    <row r="69" ht="15" customHeight="1" s="17">
      <c r="B69" s="3" t="inlineStr">
        <is>
          <t>STCG u/s 111A</t>
        </is>
      </c>
      <c r="C69" s="26">
        <f>C29</f>
        <v/>
      </c>
      <c r="D69" s="26">
        <f>C29</f>
        <v/>
      </c>
    </row>
    <row r="70" ht="15" customHeight="1" s="17">
      <c r="B70" s="3" t="inlineStr">
        <is>
          <t>LTCG u/s 112A above Rs 1.25L exemption</t>
        </is>
      </c>
      <c r="C70" s="26">
        <f>MAX(0,C30-125000)</f>
        <v/>
      </c>
      <c r="D70" s="26">
        <f>MAX(0,C30-125000)</f>
        <v/>
      </c>
    </row>
    <row r="71" ht="15" customHeight="1" s="17">
      <c r="B71" s="3" t="inlineStr">
        <is>
          <t>LTCG u/s 112 (other assets)</t>
        </is>
      </c>
      <c r="C71" s="26">
        <f>C31</f>
        <v/>
      </c>
      <c r="D71" s="26">
        <f>C31</f>
        <v/>
      </c>
    </row>
    <row r="72" ht="15" customHeight="1" s="17">
      <c r="B72" s="3" t="inlineStr">
        <is>
          <t>Casual income 115BB/115BBJ</t>
        </is>
      </c>
      <c r="C72" s="26">
        <f>C41</f>
        <v/>
      </c>
      <c r="D72" s="26">
        <f>C41</f>
        <v/>
      </c>
    </row>
    <row r="73" ht="15" customHeight="1" s="17">
      <c r="B73" s="4" t="inlineStr">
        <is>
          <t>TOTAL INCOME</t>
        </is>
      </c>
      <c r="C73" s="26">
        <f>C68+C69+C70+C71+C72</f>
        <v/>
      </c>
      <c r="D73" s="26">
        <f>D68+D69+D70+D71+D72</f>
        <v/>
      </c>
    </row>
    <row r="74" ht="15" customHeight="1" s="17">
      <c r="B74" s="3" t="inlineStr">
        <is>
          <t>Unexhausted basic exemption (residents; adjusts CG)</t>
        </is>
      </c>
      <c r="C74" s="26">
        <f>IF((C9&lt;&gt;"Non-Resident"),MAX(0,C10-C68),0)</f>
        <v/>
      </c>
      <c r="D74" s="26">
        <f>IF((C9&lt;&gt;"Non-Resident"),MAX(0,400000-D68),0)</f>
        <v/>
      </c>
    </row>
    <row r="75" ht="15" customHeight="1" s="17">
      <c r="B75" s="3" t="inlineStr">
        <is>
          <t>Adjusted against 111A</t>
        </is>
      </c>
      <c r="C75" s="26">
        <f>MIN(C74,C69)</f>
        <v/>
      </c>
      <c r="D75" s="26">
        <f>MIN(D74,D69)</f>
        <v/>
      </c>
    </row>
    <row r="76" ht="15" customHeight="1" s="17">
      <c r="B76" s="3" t="inlineStr">
        <is>
          <t>Adjusted against 112</t>
        </is>
      </c>
      <c r="C76" s="26">
        <f>MIN(C74-C75,C71)</f>
        <v/>
      </c>
      <c r="D76" s="26">
        <f>MIN(D74-D75,D71)</f>
        <v/>
      </c>
    </row>
    <row r="77" ht="15" customHeight="1" s="17">
      <c r="B77" s="3" t="inlineStr">
        <is>
          <t>Adjusted against 112A</t>
        </is>
      </c>
      <c r="C77" s="26">
        <f>MIN(C74-C75-C76,C70)</f>
        <v/>
      </c>
      <c r="D77" s="26">
        <f>MIN(D74-D75-D76,D70)</f>
        <v/>
      </c>
    </row>
    <row r="78" ht="15" customHeight="1" s="17">
      <c r="B78" s="3" t="inlineStr">
        <is>
          <t>Tax on normal income (slab)</t>
        </is>
      </c>
      <c r="C78" s="26">
        <f>ROUND(IF(AND(C8="Super Senior (80+)",(C9&lt;&gt;"Non-Resident")),MAX(0,MIN(C68,1000000)-500000)*0.2+MAX(0,C68-1000000)*0.3,MAX(0,MIN(C68,500000)-C10)*0.05+MAX(0,MIN(C68,1000000)-500000)*0.2+MAX(0,C68-1000000)*0.3),0)</f>
        <v/>
      </c>
      <c r="D78" s="26">
        <f>ROUND(MAX(0,MIN(D68,800000)-400000)*0.05+MAX(0,MIN(D68,1200000)-800000)*0.1+MAX(0,MIN(D68,1600000)-1200000)*0.15+MAX(0,MIN(D68,2000000)-1600000)*0.2+MAX(0,MIN(D68,2400000)-2000000)*0.25+MAX(0,D68-2400000)*0.3,0)</f>
        <v/>
      </c>
    </row>
    <row r="79" ht="15" customHeight="1" s="17">
      <c r="B79" s="3" t="inlineStr">
        <is>
          <t>Tax on 111A STCG @ 20%</t>
        </is>
      </c>
      <c r="C79" s="26">
        <f>ROUND(0.2*MAX(0,C69-C75),0)</f>
        <v/>
      </c>
      <c r="D79" s="26">
        <f>ROUND(0.2*MAX(0,D69-D75),0)</f>
        <v/>
      </c>
    </row>
    <row r="80" ht="15" customHeight="1" s="17">
      <c r="B80" s="3" t="inlineStr">
        <is>
          <t>Tax on 112 LTCG @ 12.5% (or lower-of option)</t>
        </is>
      </c>
      <c r="C80" s="26">
        <f>ROUND(IF(AND(C32="Yes",(C9&lt;&gt;"Non-Resident")),MIN(0.125*MAX(0,C71-C76),0.2*MAX(0,C33-C76)),0.125*MAX(0,C71-C76)),0)</f>
        <v/>
      </c>
      <c r="D80" s="26">
        <f>ROUND(IF(AND(C32="Yes",(C9&lt;&gt;"Non-Resident")),MIN(0.125*MAX(0,D71-D76),0.2*MAX(0,C33-D76)),0.125*MAX(0,D71-D76)),0)</f>
        <v/>
      </c>
    </row>
    <row r="81" ht="15" customHeight="1" s="17">
      <c r="B81" s="3" t="inlineStr">
        <is>
          <t>Tax on 112A LTCG @ 12.5%</t>
        </is>
      </c>
      <c r="C81" s="26">
        <f>ROUND(0.125*MAX(0,C70-C77),0)</f>
        <v/>
      </c>
      <c r="D81" s="26">
        <f>ROUND(0.125*MAX(0,D70-D77),0)</f>
        <v/>
      </c>
    </row>
    <row r="82" ht="15" customHeight="1" s="17">
      <c r="B82" s="3" t="inlineStr">
        <is>
          <t>Tax on casual income @ 30%</t>
        </is>
      </c>
      <c r="C82" s="26">
        <f>ROUND(0.3*C72,0)</f>
        <v/>
      </c>
      <c r="D82" s="26">
        <f>ROUND(0.3*D72,0)</f>
        <v/>
      </c>
    </row>
    <row r="83" ht="15" customHeight="1" s="17">
      <c r="B83" s="3" t="inlineStr">
        <is>
          <t>Less: Rebate u/s 87A</t>
        </is>
      </c>
      <c r="C83" s="26">
        <f>IF(AND((C9&lt;&gt;"Non-Resident"),C73&lt;=500000),MIN(12500,C78+C79+C80),0)</f>
        <v/>
      </c>
      <c r="D83" s="26">
        <f>IF(AND((C9&lt;&gt;"Non-Resident"),D68&lt;=1200000),MIN(60000,D78),0)</f>
        <v/>
      </c>
    </row>
    <row r="84" ht="15" customHeight="1" s="17">
      <c r="B84" s="4" t="inlineStr">
        <is>
          <t>Tax after rebate (new: 87A marginal relief on slab part)</t>
        </is>
      </c>
      <c r="C84" s="26">
        <f>MAX(0,C78+C79+C80+C81+C82-C83)</f>
        <v/>
      </c>
      <c r="D84" s="26">
        <f>IF(D68&lt;=1200000,MAX(0,D78-D83),MIN(D78,D68-1200000))+D79+D80+D81+D82</f>
        <v/>
      </c>
    </row>
    <row r="85" ht="15" customHeight="1" s="17">
      <c r="B85" s="3" t="inlineStr">
        <is>
          <t>Surcharge band (auto)</t>
        </is>
      </c>
      <c r="C85" s="29">
        <f>IF(C73&gt;50000000,0.37,IF(C73&gt;20000000,0.25,IF(C73&gt;10000000,0.15,IF(C73&gt;5000000,0.1,0))))</f>
        <v/>
      </c>
      <c r="D85" s="29">
        <f>IF(D73&gt;20000000,0.25,IF(D73&gt;10000000,0.15,IF(D73&gt;5000000,0.1,0)))</f>
        <v/>
      </c>
    </row>
    <row r="86" ht="15" customHeight="1" s="17">
      <c r="B86" s="3" t="inlineStr">
        <is>
          <t>Surcharge on CG taxes (capped 15%)</t>
        </is>
      </c>
      <c r="C86" s="26">
        <f>ROUND(MIN(C85,0.15)*(C79+C80+C81),0)</f>
        <v/>
      </c>
      <c r="D86" s="26">
        <f>ROUND(MIN(D85,0.15)*(D79+D80+D81),0)</f>
        <v/>
      </c>
    </row>
    <row r="87" ht="15" customHeight="1" s="17">
      <c r="B87" s="3" t="inlineStr">
        <is>
          <t>Surcharge on other tax (band rate)</t>
        </is>
      </c>
      <c r="C87" s="26">
        <f>ROUND(C85*MAX(0,(C84-C79-C80-C81)),0)</f>
        <v/>
      </c>
      <c r="D87" s="26">
        <f>ROUND(D85*MAX(0,(D84-D79-D80-D81)),0)</f>
        <v/>
      </c>
    </row>
    <row r="88" ht="15" customHeight="1" s="17">
      <c r="B88" s="3" t="inlineStr">
        <is>
          <t>Threshold crossed (auto)</t>
        </is>
      </c>
      <c r="C88" s="26">
        <f>IF(C73&gt;50000000,50000000,IF(C73&gt;20000000,20000000,IF(C73&gt;10000000,10000000,IF(C73&gt;5000000,5000000,0))))</f>
        <v/>
      </c>
      <c r="D88" s="26">
        <f>IF(D73&gt;20000000,20000000,IF(D73&gt;10000000,10000000,IF(D73&gt;5000000,5000000,0)))</f>
        <v/>
      </c>
    </row>
    <row r="89" ht="15" customHeight="1" s="17">
      <c r="B89" s="3" t="inlineStr">
        <is>
          <t>Tax at threshold (marginal-relief working, slab basis)</t>
        </is>
      </c>
      <c r="C89" s="26">
        <f>IF(C88=0,0,ROUND(IF(AND(C8="Super Senior (80+)",(C9&lt;&gt;"Non-Resident")),MAX(0,MIN(C88,1000000)-500000)*0.2+MAX(0,C88-1000000)*0.3,MAX(0,MIN(C88,500000)-C10)*0.05+MAX(0,MIN(C88,1000000)-500000)*0.2+MAX(0,C88-1000000)*0.3),0))</f>
        <v/>
      </c>
      <c r="D89" s="26">
        <f>IF(D88=0,0,ROUND(MAX(0,MIN(D88,800000)-400000)*0.05+MAX(0,MIN(D88,1200000)-800000)*0.1+MAX(0,MIN(D88,1600000)-1200000)*0.15+MAX(0,MIN(D88,2000000)-1600000)*0.2+MAX(0,MIN(D88,2400000)-2000000)*0.25+MAX(0,D88-2400000)*0.3,0))</f>
        <v/>
      </c>
    </row>
    <row r="90" ht="15" customHeight="1" s="17">
      <c r="B90" s="3" t="inlineStr">
        <is>
          <t>Surcharge rate AT threshold</t>
        </is>
      </c>
      <c r="C90" s="29">
        <f>IF(C88=50000000,0.25,IF(C88=20000000,0.15,IF(C88=10000000,0.1,0)))</f>
        <v/>
      </c>
      <c r="D90" s="29">
        <f>IF(D88=20000000,0.15,IF(D88=10000000,0.1,0))</f>
        <v/>
      </c>
    </row>
    <row r="91" ht="15" customHeight="1" s="17">
      <c r="B91" s="4" t="inlineStr">
        <is>
          <t>Surcharge (after 15% CG cap and marginal relief)</t>
        </is>
      </c>
      <c r="C91" s="26">
        <f>IF(C85=0,0,ROUND(MIN(C86+C87,MAX(0,C89*(1+C90)+(C73-C88)-C84)),0))</f>
        <v/>
      </c>
      <c r="D91" s="26">
        <f>IF(D85=0,0,ROUND(MIN(D86+D87,MAX(0,D89*(1+D90)+(D73-D88)-D84)),0))</f>
        <v/>
      </c>
    </row>
    <row r="92" ht="15" customHeight="1" s="17">
      <c r="B92" s="3" t="inlineStr">
        <is>
          <t>Health &amp; Education Cess @ 4%</t>
        </is>
      </c>
      <c r="C92" s="26">
        <f>ROUND((C84+C91)*0.04,0)</f>
        <v/>
      </c>
      <c r="D92" s="26">
        <f>ROUND((D84+D91)*0.04,0)</f>
        <v/>
      </c>
    </row>
    <row r="93" ht="15" customHeight="1" s="17">
      <c r="B93" s="4" t="inlineStr">
        <is>
          <t>TOTAL TAX PAYABLE</t>
        </is>
      </c>
      <c r="C93" s="30">
        <f>C84+C91+C92</f>
        <v/>
      </c>
      <c r="D93" s="30">
        <f>D84+D91+D92</f>
        <v/>
      </c>
    </row>
    <row r="94" ht="15" customHeight="1" s="17">
      <c r="B94" s="3" t="inlineStr">
        <is>
          <t>Effective rate on total income</t>
        </is>
      </c>
      <c r="C94" s="31">
        <f>IFERROR(C93/C73,0)</f>
        <v/>
      </c>
      <c r="D94" s="31">
        <f>IFERROR(D93/D73,0)</f>
        <v/>
      </c>
    </row>
    <row r="96" ht="24" customHeight="1" s="17">
      <c r="B96" s="22">
        <f>IF(D93&lt;C93,"NEW REGIME saves Rs "&amp;TEXT(C93-D93,"#,##0")&amp;" - opt for New (the default).",IF(C93&lt;D93,"OLD REGIME saves Rs "&amp;TEXT(D93-C93,"#,##0")&amp;" - file Form 10-IEA to opt out.","Both regimes equal - New (default) is simpler."))</f>
        <v/>
      </c>
      <c r="C96" s="32" t="n"/>
      <c r="D96" s="32" t="n"/>
      <c r="E96" s="32" t="n"/>
      <c r="F96" s="32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19">
    <mergeCell ref="E33:F33"/>
    <mergeCell ref="E14:F14"/>
    <mergeCell ref="A3:F3"/>
    <mergeCell ref="B96:F96"/>
    <mergeCell ref="A2:F2"/>
    <mergeCell ref="E51:F51"/>
    <mergeCell ref="E29:F29"/>
    <mergeCell ref="E19:F19"/>
    <mergeCell ref="E40:F40"/>
    <mergeCell ref="E9:F9"/>
    <mergeCell ref="E31:F31"/>
    <mergeCell ref="E30:F30"/>
    <mergeCell ref="E15:F15"/>
    <mergeCell ref="E26:F26"/>
    <mergeCell ref="E32:F32"/>
    <mergeCell ref="E41:F41"/>
    <mergeCell ref="A1:F1"/>
    <mergeCell ref="E56:F56"/>
    <mergeCell ref="E47:F47"/>
  </mergeCells>
  <dataValidations count="4">
    <dataValidation sqref="C8" showDropDown="0" showInputMessage="0" showErrorMessage="0" allowBlank="0" type="list">
      <formula1>"Below 60,Senior (60-79),Super Senior (80+)"</formula1>
      <formula2>0</formula2>
    </dataValidation>
    <dataValidation sqref="C9" showDropDown="0" showInputMessage="0" showErrorMessage="0" allowBlank="0" type="list">
      <formula1>"Resident / RNOR,Non-Resident"</formula1>
      <formula2>0</formula2>
    </dataValidation>
    <dataValidation sqref="C32 C49" showDropDown="0" showInputMessage="0" showErrorMessage="0" allowBlank="0" type="list">
      <formula1>"No,Yes"</formula1>
      <formula2>0</formula2>
    </dataValidation>
    <dataValidation sqref="C52" showDropDown="0" showInputMessage="0" showErrorMessage="0" allowBlank="0" type="list">
      <formula1>"Private,Government"</formula1>
      <formula2>0</formula2>
    </dataValidation>
  </dataValidation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3"/>
  <sheetViews>
    <sheetView zoomScaleNormal="100" workbookViewId="0">
      <selection activeCell="A1" sqref="A1"/>
    </sheetView>
  </sheetViews>
  <sheetFormatPr baseColWidth="8" defaultColWidth="8.6640625" defaultRowHeight="14.25"/>
  <cols>
    <col width="40" customWidth="1" style="17" min="1" max="1"/>
    <col width="16" customWidth="1" style="17" min="2" max="2"/>
    <col width="24" customWidth="1" style="17" min="3" max="3"/>
    <col width="50" customWidth="1" style="17" min="4" max="4"/>
  </cols>
  <sheetData>
    <row r="1" ht="27.75" customHeight="1" s="17">
      <c r="A1" s="19" t="inlineStr">
        <is>
          <t>CalcGuru</t>
        </is>
      </c>
    </row>
    <row r="2" ht="19.5" customHeight="1" s="17">
      <c r="A2" s="16" t="inlineStr">
        <is>
          <t>Reference - Rates card AY 2026-27 + methodology</t>
        </is>
      </c>
    </row>
    <row r="3" ht="16.5" customHeight="1" s="17">
      <c r="A3" s="20" t="inlineStr">
        <is>
          <t>FY 2025-26 figures under the Income-tax Act 1961 (FA 2025).</t>
        </is>
      </c>
    </row>
    <row r="5" ht="15" customHeight="1" s="17">
      <c r="A5" s="2" t="inlineStr">
        <is>
          <t>Capital gains rates (whole of FY 2025-26)</t>
        </is>
      </c>
    </row>
    <row r="6" ht="15" customHeight="1" s="17">
      <c r="A6" s="8" t="inlineStr">
        <is>
          <t>Asset / section</t>
        </is>
      </c>
      <c r="B6" s="8" t="inlineStr">
        <is>
          <t>Holding</t>
        </is>
      </c>
      <c r="C6" s="8" t="inlineStr">
        <is>
          <t>Rate</t>
        </is>
      </c>
      <c r="D6" s="8" t="inlineStr">
        <is>
          <t>Notes</t>
        </is>
      </c>
    </row>
    <row r="7" ht="15" customHeight="1" s="17">
      <c r="A7" s="9" t="inlineStr">
        <is>
          <t>Listed equity / equity MF - STCG 111A</t>
        </is>
      </c>
      <c r="B7" s="9" t="inlineStr">
        <is>
          <t>&lt;= 12 months</t>
        </is>
      </c>
      <c r="C7" s="9" t="inlineStr">
        <is>
          <t>20%</t>
        </is>
      </c>
      <c r="D7" s="9" t="inlineStr">
        <is>
          <t>STT paid</t>
        </is>
      </c>
    </row>
    <row r="8" ht="15" customHeight="1" s="17">
      <c r="A8" s="9" t="inlineStr">
        <is>
          <t>Listed equity / equity MF - LTCG 112A</t>
        </is>
      </c>
      <c r="B8" s="9" t="inlineStr">
        <is>
          <t>&gt; 12 months</t>
        </is>
      </c>
      <c r="C8" s="9" t="inlineStr">
        <is>
          <t>12.5% above Rs 1,25,000</t>
        </is>
      </c>
      <c r="D8" s="9" t="inlineStr">
        <is>
          <t>Grandfathering (FMV 31-1-2018) intact</t>
        </is>
      </c>
    </row>
    <row r="9" ht="22.35" customHeight="1" s="17">
      <c r="A9" s="9" t="inlineStr">
        <is>
          <t>Property / gold / unlisted - LTCG 112</t>
        </is>
      </c>
      <c r="B9" s="9" t="inlineStr">
        <is>
          <t>&gt; 24 months</t>
        </is>
      </c>
      <c r="C9" s="9" t="inlineStr">
        <is>
          <t>12.5% WITHOUT indexation</t>
        </is>
      </c>
      <c r="D9" s="9" t="inlineStr">
        <is>
          <t>Residents: land/building acquired before 23-7-2024 - lower of 12.5% no-index or 20% indexed</t>
        </is>
      </c>
    </row>
    <row r="10" ht="15" customHeight="1" s="17">
      <c r="A10" s="9" t="inlineStr">
        <is>
          <t>Debt MF bought on/after 1-4-2023</t>
        </is>
      </c>
      <c r="B10" s="9" t="inlineStr">
        <is>
          <t>Any</t>
        </is>
      </c>
      <c r="C10" s="9" t="inlineStr">
        <is>
          <t>Slab (s.50AA deemed STCG)</t>
        </is>
      </c>
      <c r="D10" s="9" t="inlineStr">
        <is>
          <t>Enter under Other STCG</t>
        </is>
      </c>
    </row>
    <row r="11" ht="15" customHeight="1" s="17">
      <c r="A11" s="9" t="inlineStr">
        <is>
          <t>Other STCG</t>
        </is>
      </c>
      <c r="B11" s="9" t="inlineStr">
        <is>
          <t>-</t>
        </is>
      </c>
      <c r="C11" s="9" t="inlineStr">
        <is>
          <t>Slab</t>
        </is>
      </c>
      <c r="D11" s="9" t="inlineStr">
        <is>
          <t>Property &lt;24m, gold &lt;24m etc</t>
        </is>
      </c>
    </row>
    <row r="12" ht="15" customHeight="1" s="17">
      <c r="A12" s="9" t="inlineStr">
        <is>
          <t>Lottery / online winnings 115BB/BBJ</t>
        </is>
      </c>
      <c r="B12" s="9" t="inlineStr">
        <is>
          <t>-</t>
        </is>
      </c>
      <c r="C12" s="9" t="inlineStr">
        <is>
          <t>Flat 30%</t>
        </is>
      </c>
      <c r="D12" s="9" t="inlineStr">
        <is>
          <t>No exemption adjustment, no rebate</t>
        </is>
      </c>
    </row>
    <row r="14" ht="15" customHeight="1" s="17">
      <c r="A14" s="24" t="inlineStr">
        <is>
          <t>Surcharge: 10% &gt;50L | 15% &gt;1Cr | 25% &gt;2Cr | 37% &gt;5Cr (old only; new capped 25%). CG taxes bear max 15% surcharge. Marginal relief at each threshold. Cess 4%.</t>
        </is>
      </c>
    </row>
    <row r="16" ht="15" customHeight="1" s="17">
      <c r="A16" s="2" t="inlineStr">
        <is>
          <t>Methodology and simplifications</t>
        </is>
      </c>
    </row>
    <row r="17" ht="24" customHeight="1" s="17">
      <c r="A17" s="23" t="inlineStr">
        <is>
          <t>- VI-A deductions apply against NORMAL income only (never against 111A/112/112A/casual).</t>
        </is>
      </c>
    </row>
    <row r="18" ht="24" customHeight="1" s="17">
      <c r="A18" s="23" t="inlineStr">
        <is>
          <t>- Unexhausted basic exemption (residents) adjusts capital gains in the order: 111A, then 112, then 112A.</t>
        </is>
      </c>
    </row>
    <row r="19" ht="24" customHeight="1" s="17">
      <c r="A19" s="23" t="inlineStr">
        <is>
          <t>- 87A new regime: rebate and marginal relief against slab tax on normal income only (FA 2025). Old regime: rebate covers 111A and 112 but never 112A; total income tested at Rs 5L.</t>
        </is>
      </c>
    </row>
    <row r="20" ht="24" customHeight="1" s="17">
      <c r="A20" s="23" t="inlineStr">
        <is>
          <t>- Surcharge marginal relief is computed on a slab-tax-at-threshold basis - a close approximation where large special-rate income sits near a threshold.</t>
        </is>
      </c>
    </row>
    <row r="21" ht="24" customHeight="1" s="17">
      <c r="A21" s="23" t="inlineStr">
        <is>
          <t>- Dividend surcharge is applied at the band rate (the 15% dividend cap is not separately modelled - relevant only above Rs 2 crore).</t>
        </is>
      </c>
    </row>
    <row r="22" ht="24" customHeight="1" s="17">
      <c r="A22" s="23" t="inlineStr">
        <is>
          <t>- New-regime let-out loss: not set off against other income; carry-forward position contested - not computed.</t>
        </is>
      </c>
    </row>
    <row r="23" ht="24" customHeight="1" s="17">
      <c r="A23" s="23" t="inlineStr">
        <is>
          <t>- Non-Resident: no 87A, no CG exemption adjustment, no senior slabs, no 112 indexation option, no 80TTB/80DD/80DDB/80U.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11">
    <mergeCell ref="A1:D1"/>
    <mergeCell ref="A17:D17"/>
    <mergeCell ref="A18:D18"/>
    <mergeCell ref="A23:D23"/>
    <mergeCell ref="A22:D22"/>
    <mergeCell ref="A3:D3"/>
    <mergeCell ref="A20:D20"/>
    <mergeCell ref="A21:D21"/>
    <mergeCell ref="A2:D2"/>
    <mergeCell ref="A19:D19"/>
    <mergeCell ref="A14:D14"/>
  </mergeCells>
  <pageMargins left="0.75" right="0.75" top="1" bottom="1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2026-07-10T10:34:07Z</dcterms:created>
  <dcterms:modified xmlns:dcterms="http://purl.org/dc/terms/" xmlns:xsi="http://www.w3.org/2001/XMLSchema-instance" xsi:type="dcterms:W3CDTF">2026-07-11T15:37:08Z</dcterms:modified>
  <cp:lastModifiedBy>Tirumalesh Malla</cp:lastModifiedBy>
  <cp:revision>0</cp:revision>
</cp:coreProperties>
</file>