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98" yWindow="-98" windowWidth="21795" windowHeight="12975" tabRatio="500" firstSheet="0" activeTab="3" autoFilterDateGrouping="1"/>
  </bookViews>
  <sheets>
    <sheet xmlns:r="http://schemas.openxmlformats.org/officeDocument/2006/relationships" name="Cover" sheetId="1" state="visible" r:id="rId1"/>
    <sheet xmlns:r="http://schemas.openxmlformats.org/officeDocument/2006/relationships" name="CG Register" sheetId="2" state="visible" r:id="rId2"/>
    <sheet xmlns:r="http://schemas.openxmlformats.org/officeDocument/2006/relationships" name="Summary" sheetId="3" state="visible" r:id="rId3"/>
    <sheet xmlns:r="http://schemas.openxmlformats.org/officeDocument/2006/relationships" name="CII &amp; Rules" sheetId="4" state="visible" r:id="rId4"/>
    <sheet xmlns:r="http://schemas.openxmlformats.org/officeDocument/2006/relationships" name="Engine" sheetId="5" state="veryHidden" r:id="rId5"/>
  </sheets>
  <definedNames>
    <definedName name="AM_Type">'CII &amp; Rules'!$F$7:$F$14</definedName>
    <definedName name="AM_LTm">'CII &amp; Rules'!$G$7:$G$14</definedName>
    <definedName name="AM_LTr">'CII &amp; Rules'!$H$7:$H$14</definedName>
    <definedName name="AM_STslab">'CII &amp; Rules'!$I$7:$I$14</definedName>
    <definedName name="AM_Grand">'CII &amp; Rules'!$J$7:$J$14</definedName>
    <definedName name="AM_Index">'CII &amp; Rules'!$K$7:$K$14</definedName>
    <definedName name="AM_Cat">'CII &amp; Rules'!$L$7:$L$14</definedName>
    <definedName name="CII_Year">'CII &amp; Rules'!$B$7:$B$32</definedName>
    <definedName name="CII_Val">'CII &amp; Rules'!$C$7:$C$32</definedName>
    <definedName name="FY_List">'CII &amp; Rules'!$N$7:$N$8</definedName>
    <definedName name="FY_Tbl">'CII &amp; Rules'!$N$7:$R$8</definedName>
    <definedName name="YesNoList">'CII &amp; Rules'!$N$11:$N$12</definedName>
    <definedName name="FY_Sel">'CG Register'!$C$6</definedName>
    <definedName name="FY_Start">INDEX('CII &amp; Rules'!$O$7:$O$8,MATCH(FY_Sel,FY_List,0))</definedName>
    <definedName name="FY_End">INDEX('CII &amp; Rules'!$P$7:$P$8,MATCH(FY_Sel,FY_List,0))</definedName>
    <definedName name="AY_Label">INDEX('CII &amp; Rules'!$Q$7:$Q$8,MATCH(FY_Sel,FY_List,0))</definedName>
    <definedName name="Act_Label">INDEX('CII &amp; Rules'!$R$7:$R$8,MATCH(FY_Sel,FY_List,0))</definedName>
    <definedName name="Slab_Rate">Summary!$D$5</definedName>
    <definedName name="Resident">Summary!$D$6</definedName>
    <definedName name="Surch_Rate">Summary!$D$7</definedName>
    <definedName name="_xlnm.Print_Area" localSheetId="0">'Cover'!$A$1:$H$29</definedName>
    <definedName name="_xlnm.Print_Titles" localSheetId="1">'CG Register'!$1:$8</definedName>
    <definedName name="_xlnm.Print_Area" localSheetId="1">'CG Register'!$A$1:$Q$108</definedName>
    <definedName name="_xlnm.Print_Area" localSheetId="2">'Summary'!$A$1:$G$40</definedName>
    <definedName name="_xlnm.Print_Area" localSheetId="3">'CII &amp; Rules'!$A$1:$R$35</definedName>
    <definedName name="_xlnm.Print_Area" localSheetId="4">'Engine'!$A$1:$B$60</definedName>
  </definedNames>
  <calcPr calcId="191029" fullCalcOnLoad="1" iterateDelta="0.0001"/>
</workbook>
</file>

<file path=xl/styles.xml><?xml version="1.0" encoding="utf-8"?>
<styleSheet xmlns="http://schemas.openxmlformats.org/spreadsheetml/2006/main">
  <numFmts count="6">
    <numFmt numFmtId="164" formatCode="0.0%"/>
    <numFmt numFmtId="165" formatCode="dd\-mmm\-yyyy"/>
    <numFmt numFmtId="166" formatCode="#,##0;[Red]\(#,##0\)"/>
    <numFmt numFmtId="167" formatCode="yyyy-mm-dd h:mm:ss"/>
    <numFmt numFmtId="168" formatCode="dd-mmm-yyyy"/>
    <numFmt numFmtId="169" formatCode="#,##0;[Red](#,##0)"/>
  </numFmts>
  <fonts count="43">
    <font>
      <name val="Calibri"/>
      <charset val="1"/>
      <family val="2"/>
      <color theme="1"/>
      <sz val="11"/>
    </font>
    <font>
      <name val="Calibri"/>
      <charset val="1"/>
      <b val="1"/>
      <color rgb="FFFFFFFF"/>
      <sz val="20"/>
    </font>
    <font>
      <name val="Calibri"/>
      <charset val="1"/>
      <b val="1"/>
      <color rgb="FFFFFFFF"/>
      <sz val="14"/>
    </font>
    <font>
      <name val="Calibri"/>
      <charset val="1"/>
      <i val="1"/>
      <color rgb="FFFFFFFF"/>
      <sz val="10"/>
    </font>
    <font>
      <name val="Calibri"/>
      <charset val="1"/>
      <b val="1"/>
      <color rgb="FF1E3A8A"/>
      <sz val="11"/>
    </font>
    <font>
      <name val="Calibri"/>
      <charset val="1"/>
      <b val="1"/>
      <color rgb="FF000000"/>
      <sz val="10"/>
    </font>
    <font>
      <name val="Calibri"/>
      <charset val="1"/>
      <color rgb="FF334155"/>
      <sz val="9"/>
    </font>
    <font>
      <name val="Calibri"/>
      <charset val="1"/>
      <i val="1"/>
      <color rgb="FF64748B"/>
      <sz val="8"/>
    </font>
    <font>
      <name val="Calibri"/>
      <charset val="1"/>
      <color rgb="FFFFFFFF"/>
      <sz val="9"/>
    </font>
    <font>
      <name val="Calibri"/>
      <charset val="1"/>
      <b val="1"/>
      <color rgb="FFFFFFFF"/>
      <sz val="10"/>
    </font>
    <font>
      <name val="Calibri"/>
      <charset val="1"/>
      <b val="1"/>
      <color rgb="FFFFFFFF"/>
      <sz val="9"/>
    </font>
    <font>
      <name val="Calibri"/>
      <charset val="1"/>
      <color rgb="FF000000"/>
      <sz val="9"/>
    </font>
    <font>
      <name val="Calibri"/>
      <charset val="1"/>
      <i val="1"/>
      <color rgb="FFF97316"/>
      <sz val="8"/>
    </font>
    <font>
      <name val="Calibri"/>
      <charset val="1"/>
      <i val="1"/>
      <color rgb="FF334155"/>
      <sz val="9"/>
    </font>
    <font>
      <name val="Calibri"/>
      <charset val="1"/>
      <b val="1"/>
      <color rgb="FF1E3A8A"/>
      <sz val="10"/>
    </font>
    <font>
      <name val="Calibri"/>
      <charset val="1"/>
      <b val="1"/>
      <color rgb="FF000000"/>
      <sz val="11"/>
    </font>
    <font>
      <name val="Calibri"/>
      <charset val="1"/>
      <color rgb="FF000000"/>
      <sz val="10"/>
    </font>
    <font>
      <name val="Calibri"/>
      <charset val="1"/>
      <b val="1"/>
      <color rgb="FFFFFFFF"/>
      <sz val="12"/>
    </font>
    <font>
      <name val="Calibri"/>
      <charset val="1"/>
      <b val="1"/>
      <color rgb="FF334155"/>
      <sz val="9"/>
    </font>
    <font>
      <name val="Calibri"/>
      <color rgb="FF000000"/>
      <sz val="9"/>
    </font>
    <font>
      <name val="Calibri"/>
      <b val="1"/>
      <color rgb="FF000000"/>
      <sz val="11"/>
    </font>
    <font>
      <name val="Calibri"/>
      <b val="1"/>
      <color rgb="FFFFFFFF"/>
      <sz val="9"/>
    </font>
    <font>
      <name val="Calibri"/>
      <b val="1"/>
      <color rgb="FF000000"/>
      <sz val="9"/>
    </font>
    <font>
      <name val="Calibri"/>
      <i val="1"/>
      <color rgb="FF64748B"/>
      <sz val="8"/>
    </font>
    <font>
      <name val="Calibri"/>
      <color rgb="FF000000"/>
      <sz val="8"/>
    </font>
    <font>
      <name val="Calibri"/>
      <color rgb="FF991B1B"/>
      <sz val="8"/>
    </font>
    <font>
      <name val="Calibri"/>
      <color rgb="FFFFFFFF"/>
      <sz val="10"/>
    </font>
    <font>
      <name val="Calibri"/>
      <color rgb="FF475569"/>
      <sz val="9"/>
    </font>
    <font>
      <name val="Calibri"/>
      <b val="1"/>
      <color rgb="FF1E3A8A"/>
      <sz val="10"/>
    </font>
    <font>
      <name val="Calibri"/>
      <b val="1"/>
      <color rgb="FF000000"/>
      <sz val="10"/>
    </font>
    <font>
      <name val="Calibri"/>
      <b val="1"/>
      <color rgb="FF991B1B"/>
      <sz val="9"/>
    </font>
    <font>
      <name val="Calibri"/>
      <sz val="9"/>
    </font>
    <font>
      <name val="Calibri"/>
      <i val="1"/>
      <color rgb="FF64748B"/>
      <sz val="9"/>
    </font>
    <font>
      <name val="Calibri"/>
      <sz val="11"/>
    </font>
    <font>
      <name val="Calibri"/>
      <b val="1"/>
      <color rgb="FFFFFFFF"/>
      <sz val="20"/>
    </font>
    <font>
      <name val="Calibri"/>
      <b val="1"/>
      <color rgb="FFFFFFFF"/>
      <sz val="14"/>
    </font>
    <font>
      <name val="Calibri"/>
      <b val="1"/>
      <color rgb="FFFFFFFF"/>
      <sz val="10"/>
    </font>
    <font>
      <name val="Calibri"/>
      <color rgb="FF000000"/>
      <sz val="10"/>
    </font>
    <font>
      <name val="Calibri"/>
      <b val="1"/>
      <color rgb="FFFFFFFF"/>
      <sz val="12"/>
    </font>
    <font>
      <name val="Calibri"/>
      <b val="1"/>
      <color rgb="FF1E3A8A"/>
      <sz val="9"/>
    </font>
    <font>
      <name val="Calibri"/>
      <b val="1"/>
      <color rgb="FF1E3A8A"/>
      <sz val="8"/>
    </font>
    <font>
      <name val="Calibri"/>
      <color rgb="FF475569"/>
      <sz val="8"/>
    </font>
    <font>
      <name val="Calibri"/>
      <color rgb="FFFFFFFF"/>
      <sz val="9"/>
    </font>
  </fonts>
  <fills count="17">
    <fill>
      <patternFill/>
    </fill>
    <fill>
      <patternFill patternType="gray125"/>
    </fill>
    <fill>
      <patternFill patternType="solid">
        <fgColor rgb="FF1E3A8A"/>
        <bgColor rgb="FF2748A8"/>
      </patternFill>
    </fill>
    <fill>
      <patternFill patternType="solid">
        <fgColor rgb="FF2748A8"/>
        <bgColor rgb="FF1E3A8A"/>
      </patternFill>
    </fill>
    <fill>
      <patternFill patternType="solid">
        <fgColor rgb="FFF97316"/>
        <bgColor rgb="FFFF9900"/>
      </patternFill>
    </fill>
    <fill>
      <patternFill patternType="solid">
        <fgColor rgb="FFFFF7CC"/>
        <bgColor rgb="FFF1F5F9"/>
      </patternFill>
    </fill>
    <fill>
      <patternFill patternType="solid">
        <fgColor rgb="FFFFFFFF"/>
        <bgColor rgb="FFF1F5F9"/>
      </patternFill>
    </fill>
    <fill>
      <patternFill patternType="solid">
        <fgColor rgb="FFF1F5F9"/>
        <bgColor rgb="FFFFFFFF"/>
      </patternFill>
    </fill>
    <fill>
      <patternFill patternType="solid">
        <fgColor rgb="FFDCFCE7"/>
        <bgColor rgb="FFCCFFCC"/>
      </patternFill>
    </fill>
    <fill>
      <patternFill patternType="solid">
        <fgColor rgb="FFFFF7CC"/>
      </patternFill>
    </fill>
    <fill>
      <patternFill patternType="solid">
        <fgColor rgb="FF1E3A8A"/>
      </patternFill>
    </fill>
    <fill>
      <patternFill patternType="solid">
        <fgColor rgb="FFFEE2E2"/>
      </patternFill>
    </fill>
    <fill>
      <patternFill patternType="solid">
        <fgColor rgb="FFF97316"/>
      </patternFill>
    </fill>
    <fill>
      <patternFill patternType="solid">
        <fgColor rgb="FFFFFFFF"/>
      </patternFill>
    </fill>
    <fill>
      <patternFill patternType="solid">
        <fgColor rgb="FFF1F5F9"/>
      </patternFill>
    </fill>
    <fill>
      <patternFill patternType="solid">
        <fgColor rgb="FF2748A8"/>
      </patternFill>
    </fill>
    <fill>
      <patternFill patternType="solid">
        <fgColor rgb="FFDCFCE7"/>
      </patternFill>
    </fill>
  </fills>
  <borders count="5">
    <border>
      <left/>
      <right/>
      <top/>
      <bottom/>
      <diagonal/>
    </border>
    <border>
      <left style="thin">
        <color rgb="FFCBD5E1"/>
      </left>
      <right style="thin">
        <color rgb="FFCBD5E1"/>
      </right>
      <top style="thin">
        <color rgb="FFCBD5E1"/>
      </top>
      <bottom style="thin">
        <color rgb="FFCBD5E1"/>
      </bottom>
      <diagonal/>
    </border>
    <border>
      <left style="medium">
        <color rgb="FF1E3A8A"/>
      </left>
      <right style="medium">
        <color rgb="FF1E3A8A"/>
      </right>
      <top style="medium">
        <color rgb="FF1E3A8A"/>
      </top>
      <bottom style="medium">
        <color rgb="FF1E3A8A"/>
      </bottom>
      <diagonal/>
    </border>
    <border>
      <left style="thin">
        <color rgb="FFD5DBE3"/>
      </left>
      <right style="thin">
        <color rgb="FFD5DBE3"/>
      </right>
      <top style="thin">
        <color rgb="FFD5DBE3"/>
      </top>
      <bottom style="thin">
        <color rgb="FFD5DBE3"/>
      </bottom>
    </border>
    <border/>
  </borders>
  <cellStyleXfs count="1">
    <xf numFmtId="0" fontId="0" fillId="0" borderId="0"/>
  </cellStyleXfs>
  <cellXfs count="115">
    <xf numFmtId="0" fontId="0" fillId="0" borderId="0" pivotButton="0" quotePrefix="0" xfId="0"/>
    <xf numFmtId="0" fontId="4" fillId="0" borderId="0" pivotButton="0" quotePrefix="0" xfId="0"/>
    <xf numFmtId="0" fontId="9" fillId="2" borderId="1" applyAlignment="1" pivotButton="0" quotePrefix="0" xfId="0">
      <alignment horizontal="center" vertical="center" wrapText="1"/>
    </xf>
    <xf numFmtId="0" fontId="10" fillId="2" borderId="1" applyAlignment="1" pivotButton="0" quotePrefix="0" xfId="0">
      <alignment horizontal="center" vertical="center" wrapText="1"/>
    </xf>
    <xf numFmtId="0" fontId="11" fillId="0" borderId="1" applyAlignment="1" pivotButton="0" quotePrefix="0" xfId="0">
      <alignment horizontal="left" vertical="center" wrapText="1"/>
    </xf>
    <xf numFmtId="0" fontId="11" fillId="0" borderId="1" applyAlignment="1" pivotButton="0" quotePrefix="0" xfId="0">
      <alignment horizontal="center" vertical="center" wrapText="1"/>
    </xf>
    <xf numFmtId="164" fontId="11" fillId="0" borderId="1" applyAlignment="1" pivotButton="0" quotePrefix="0" xfId="0">
      <alignment horizontal="center" vertical="center" wrapText="1"/>
    </xf>
    <xf numFmtId="0" fontId="11" fillId="5" borderId="1" applyAlignment="1" applyProtection="1" pivotButton="0" quotePrefix="0" xfId="0">
      <alignment horizontal="center" vertical="center" wrapText="1"/>
      <protection locked="0" hidden="0"/>
    </xf>
    <xf numFmtId="0" fontId="12" fillId="0" borderId="0" applyAlignment="1" pivotButton="0" quotePrefix="0" xfId="0">
      <alignment horizontal="left" vertical="center" wrapText="1"/>
    </xf>
    <xf numFmtId="0" fontId="10" fillId="2" borderId="2" applyAlignment="1" pivotButton="0" quotePrefix="0" xfId="0">
      <alignment horizontal="center" vertical="center" wrapText="1"/>
    </xf>
    <xf numFmtId="0" fontId="11" fillId="5" borderId="1" applyAlignment="1" applyProtection="1" pivotButton="0" quotePrefix="0" xfId="0">
      <alignment horizontal="left" vertical="center" wrapText="1"/>
      <protection locked="0" hidden="0"/>
    </xf>
    <xf numFmtId="165" fontId="11" fillId="5" borderId="1" applyAlignment="1" applyProtection="1" pivotButton="0" quotePrefix="0" xfId="0">
      <alignment horizontal="center" vertical="center" wrapText="1"/>
      <protection locked="0" hidden="0"/>
    </xf>
    <xf numFmtId="166" fontId="11" fillId="5" borderId="1" applyAlignment="1" applyProtection="1" pivotButton="0" quotePrefix="0" xfId="0">
      <alignment horizontal="right" vertical="center"/>
      <protection locked="0" hidden="0"/>
    </xf>
    <xf numFmtId="0" fontId="14" fillId="0" borderId="0" applyAlignment="1" pivotButton="0" quotePrefix="0" xfId="0">
      <alignment horizontal="right" vertical="center"/>
    </xf>
    <xf numFmtId="9" fontId="15" fillId="5" borderId="2" applyAlignment="1" applyProtection="1" pivotButton="0" quotePrefix="0" xfId="0">
      <alignment horizontal="center" vertical="center" wrapText="1"/>
      <protection locked="0" hidden="0"/>
    </xf>
    <xf numFmtId="0" fontId="9" fillId="2" borderId="2" applyAlignment="1" pivotButton="0" quotePrefix="0" xfId="0">
      <alignment horizontal="center" vertical="center" wrapText="1"/>
    </xf>
    <xf numFmtId="0" fontId="16" fillId="0" borderId="1" applyAlignment="1" pivotButton="0" quotePrefix="0" xfId="0">
      <alignment horizontal="left" vertical="center" wrapText="1"/>
    </xf>
    <xf numFmtId="166" fontId="16" fillId="0" borderId="1" applyAlignment="1" pivotButton="0" quotePrefix="0" xfId="0">
      <alignment horizontal="right" vertical="center"/>
    </xf>
    <xf numFmtId="0" fontId="16" fillId="0" borderId="1" applyAlignment="1" pivotButton="0" quotePrefix="0" xfId="0">
      <alignment horizontal="center" vertical="center" wrapText="1"/>
    </xf>
    <xf numFmtId="0" fontId="5" fillId="0" borderId="1" applyAlignment="1" pivotButton="0" quotePrefix="0" xfId="0">
      <alignment horizontal="left" vertical="center" wrapText="1"/>
    </xf>
    <xf numFmtId="0" fontId="4" fillId="0" borderId="2" applyAlignment="1" pivotButton="0" quotePrefix="0" xfId="0">
      <alignment horizontal="right" vertical="center"/>
    </xf>
    <xf numFmtId="0" fontId="0" fillId="0" borderId="2" pivotButton="0" quotePrefix="0" xfId="0"/>
    <xf numFmtId="0" fontId="16" fillId="0" borderId="1" applyAlignment="1" pivotButton="0" quotePrefix="0" xfId="0">
      <alignment horizontal="right" vertical="center"/>
    </xf>
    <xf numFmtId="0" fontId="17" fillId="4" borderId="2" applyAlignment="1" pivotButton="0" quotePrefix="0" xfId="0">
      <alignment horizontal="right" vertical="center"/>
    </xf>
    <xf numFmtId="0" fontId="0" fillId="4" borderId="2" pivotButton="0" quotePrefix="0" xfId="0"/>
    <xf numFmtId="0" fontId="11" fillId="6" borderId="1" applyAlignment="1" applyProtection="1" pivotButton="0" quotePrefix="0" xfId="0">
      <alignment horizontal="center" vertical="center" wrapText="1"/>
      <protection locked="1" hidden="1"/>
    </xf>
    <xf numFmtId="0" fontId="11" fillId="9" borderId="1" applyAlignment="1" applyProtection="1" pivotButton="0" quotePrefix="0" xfId="0">
      <alignment horizontal="left" vertical="center" wrapText="1"/>
      <protection locked="0" hidden="0"/>
    </xf>
    <xf numFmtId="166" fontId="11" fillId="6" borderId="1" applyAlignment="1" applyProtection="1" pivotButton="0" quotePrefix="0" xfId="0">
      <alignment horizontal="right" vertical="center"/>
      <protection locked="1" hidden="1"/>
    </xf>
    <xf numFmtId="0" fontId="11" fillId="7" borderId="1" applyAlignment="1" applyProtection="1" pivotButton="0" quotePrefix="0" xfId="0">
      <alignment horizontal="center" vertical="center" wrapText="1"/>
      <protection locked="1" hidden="1"/>
    </xf>
    <xf numFmtId="166" fontId="11" fillId="7" borderId="1" applyAlignment="1" applyProtection="1" pivotButton="0" quotePrefix="0" xfId="0">
      <alignment horizontal="right" vertical="center"/>
      <protection locked="1" hidden="1"/>
    </xf>
    <xf numFmtId="166" fontId="16" fillId="0" borderId="1" applyAlignment="1" applyProtection="1" pivotButton="0" quotePrefix="0" xfId="0">
      <alignment horizontal="right" vertical="center"/>
      <protection locked="1" hidden="1"/>
    </xf>
    <xf numFmtId="9" fontId="16" fillId="0" borderId="1" applyAlignment="1" applyProtection="1" pivotButton="0" quotePrefix="0" xfId="0">
      <alignment horizontal="center" vertical="center" wrapText="1"/>
      <protection locked="1" hidden="1"/>
    </xf>
    <xf numFmtId="166" fontId="15" fillId="8" borderId="2" applyAlignment="1" applyProtection="1" pivotButton="0" quotePrefix="0" xfId="0">
      <alignment horizontal="right" vertical="center"/>
      <protection locked="1" hidden="1"/>
    </xf>
    <xf numFmtId="166" fontId="17" fillId="4" borderId="2" applyAlignment="1" applyProtection="1" pivotButton="0" quotePrefix="0" xfId="0">
      <alignment horizontal="right" vertical="center"/>
      <protection locked="1" hidden="1"/>
    </xf>
    <xf numFmtId="0" fontId="6" fillId="0" borderId="0" pivotButton="0" quotePrefix="0" xfId="0"/>
    <xf numFmtId="0" fontId="0" fillId="0" borderId="0" applyProtection="1" pivotButton="0" quotePrefix="0" xfId="0">
      <protection locked="0" hidden="0"/>
    </xf>
    <xf numFmtId="0" fontId="3" fillId="4" borderId="0" applyAlignment="1" pivotButton="0" quotePrefix="0" xfId="0">
      <alignment horizontal="center" vertical="center" wrapText="1"/>
    </xf>
    <xf numFmtId="0" fontId="0" fillId="0" borderId="0" pivotButton="0" quotePrefix="0" xfId="0"/>
    <xf numFmtId="0" fontId="2" fillId="3" borderId="0" applyAlignment="1" pivotButton="0" quotePrefix="0" xfId="0">
      <alignment horizontal="center" vertical="center" wrapText="1"/>
    </xf>
    <xf numFmtId="0" fontId="1" fillId="2" borderId="0" applyAlignment="1" pivotButton="0" quotePrefix="0" xfId="0">
      <alignment horizontal="center" vertical="center" wrapText="1"/>
    </xf>
    <xf numFmtId="0" fontId="13" fillId="0" borderId="0" applyAlignment="1" pivotButton="0" quotePrefix="0" xfId="0">
      <alignment horizontal="left" vertical="center" wrapText="1"/>
    </xf>
    <xf numFmtId="0" fontId="5" fillId="0" borderId="0" applyAlignment="1" pivotButton="0" quotePrefix="0" xfId="0">
      <alignment horizontal="left" vertical="center" wrapText="1"/>
    </xf>
    <xf numFmtId="0" fontId="6" fillId="0" borderId="0" applyAlignment="1" pivotButton="0" quotePrefix="0" xfId="0">
      <alignment horizontal="left" vertical="center" wrapText="1"/>
    </xf>
    <xf numFmtId="0" fontId="8" fillId="2" borderId="0" applyAlignment="1" pivotButton="0" quotePrefix="0" xfId="0">
      <alignment horizontal="center" vertical="center" wrapText="1"/>
    </xf>
    <xf numFmtId="0" fontId="4" fillId="0" borderId="0" applyAlignment="1" pivotButton="0" quotePrefix="0" xfId="0">
      <alignment horizontal="left" vertical="center" wrapText="1"/>
    </xf>
    <xf numFmtId="0" fontId="7" fillId="0" borderId="0" applyAlignment="1" pivotButton="0" quotePrefix="0" xfId="0">
      <alignment horizontal="left" vertical="center" wrapText="1"/>
    </xf>
    <xf numFmtId="0" fontId="18" fillId="0" borderId="0" applyAlignment="1" pivotButton="0" quotePrefix="0" xfId="0">
      <alignment horizontal="left" vertical="center" wrapText="1"/>
    </xf>
    <xf numFmtId="0" fontId="20" fillId="0" borderId="0" applyAlignment="1" pivotButton="0" quotePrefix="0" xfId="0">
      <alignment horizontal="left" vertical="center"/>
    </xf>
    <xf numFmtId="0" fontId="21" fillId="10" borderId="3" applyAlignment="1" pivotButton="0" quotePrefix="0" xfId="0">
      <alignment horizontal="center" vertical="center"/>
    </xf>
    <xf numFmtId="0" fontId="19" fillId="0" borderId="3" applyAlignment="1" pivotButton="0" quotePrefix="0" xfId="0">
      <alignment horizontal="left" vertical="center"/>
    </xf>
    <xf numFmtId="0" fontId="19" fillId="0" borderId="3" applyAlignment="1" pivotButton="0" quotePrefix="0" xfId="0">
      <alignment horizontal="center" vertical="center"/>
    </xf>
    <xf numFmtId="164" fontId="19" fillId="0" borderId="3" applyAlignment="1" pivotButton="0" quotePrefix="0" xfId="0">
      <alignment horizontal="center" vertical="center"/>
    </xf>
    <xf numFmtId="168" fontId="19" fillId="0" borderId="3" applyAlignment="1" pivotButton="0" quotePrefix="0" xfId="0">
      <alignment horizontal="center" vertical="center"/>
    </xf>
    <xf numFmtId="0" fontId="22" fillId="0" borderId="0" applyAlignment="1" pivotButton="0" quotePrefix="0" xfId="0">
      <alignment horizontal="left" vertical="center"/>
    </xf>
    <xf numFmtId="0" fontId="19" fillId="0" borderId="0" applyAlignment="1" pivotButton="0" quotePrefix="0" xfId="0">
      <alignment horizontal="left" vertical="center"/>
    </xf>
    <xf numFmtId="0" fontId="23" fillId="0" borderId="0" applyAlignment="1" pivotButton="0" quotePrefix="0" xfId="0">
      <alignment horizontal="left" vertical="center"/>
    </xf>
    <xf numFmtId="0" fontId="19" fillId="9" borderId="3" applyAlignment="1" applyProtection="1" pivotButton="0" quotePrefix="0" xfId="0">
      <alignment horizontal="center" vertical="center"/>
      <protection locked="0" hidden="0"/>
    </xf>
    <xf numFmtId="0" fontId="24" fillId="0" borderId="0" applyAlignment="1" pivotButton="0" quotePrefix="0" xfId="0">
      <alignment horizontal="left" vertical="center"/>
    </xf>
    <xf numFmtId="0" fontId="25" fillId="11" borderId="3" applyAlignment="1" pivotButton="0" quotePrefix="0" xfId="0">
      <alignment horizontal="left" vertical="center" wrapText="1"/>
    </xf>
    <xf numFmtId="0" fontId="26" fillId="12" borderId="0" applyAlignment="1" pivotButton="0" quotePrefix="0" xfId="0">
      <alignment horizontal="left" vertical="center"/>
    </xf>
    <xf numFmtId="0" fontId="28" fillId="0" borderId="0" applyAlignment="1" pivotButton="0" quotePrefix="0" xfId="0">
      <alignment horizontal="left" vertical="center"/>
    </xf>
    <xf numFmtId="0" fontId="26" fillId="12" borderId="0" applyAlignment="1" applyProtection="1" pivotButton="0" quotePrefix="0" xfId="0">
      <alignment horizontal="left" vertical="center"/>
      <protection locked="1" hidden="1"/>
    </xf>
    <xf numFmtId="0" fontId="27" fillId="0" borderId="0" applyAlignment="1" pivotButton="0" quotePrefix="0" xfId="0">
      <alignment horizontal="left" vertical="center" wrapText="1"/>
    </xf>
    <xf numFmtId="0" fontId="28" fillId="0" borderId="0" applyAlignment="1" pivotButton="0" quotePrefix="0" xfId="0">
      <alignment horizontal="right" vertical="center"/>
    </xf>
    <xf numFmtId="0" fontId="29" fillId="9" borderId="3" applyAlignment="1" applyProtection="1" pivotButton="0" quotePrefix="0" xfId="0">
      <alignment horizontal="center" vertical="center"/>
      <protection locked="0" hidden="0"/>
    </xf>
    <xf numFmtId="0" fontId="27" fillId="0" borderId="0" applyAlignment="1" applyProtection="1" pivotButton="0" quotePrefix="0" xfId="0">
      <alignment horizontal="left" vertical="center"/>
      <protection locked="1" hidden="1"/>
    </xf>
    <xf numFmtId="0" fontId="30" fillId="0" borderId="0" applyAlignment="1" applyProtection="1" pivotButton="0" quotePrefix="0" xfId="0">
      <alignment horizontal="left" vertical="center"/>
      <protection locked="1" hidden="1"/>
    </xf>
    <xf numFmtId="0" fontId="19" fillId="13" borderId="1" applyAlignment="1" applyProtection="1" pivotButton="0" quotePrefix="0" xfId="0">
      <alignment horizontal="center" vertical="center"/>
      <protection locked="1" hidden="1"/>
    </xf>
    <xf numFmtId="0" fontId="32" fillId="9" borderId="1" applyAlignment="1" applyProtection="1" pivotButton="0" quotePrefix="0" xfId="0">
      <alignment horizontal="left" vertical="center"/>
      <protection locked="0" hidden="0"/>
    </xf>
    <xf numFmtId="168" fontId="32" fillId="9" borderId="1" applyAlignment="1" applyProtection="1" pivotButton="0" quotePrefix="0" xfId="0">
      <alignment horizontal="center" vertical="center"/>
      <protection locked="0" hidden="0"/>
    </xf>
    <xf numFmtId="169" fontId="32" fillId="9" borderId="1" applyAlignment="1" applyProtection="1" pivotButton="0" quotePrefix="0" xfId="0">
      <alignment horizontal="right" vertical="center"/>
      <protection locked="0" hidden="0"/>
    </xf>
    <xf numFmtId="169" fontId="19" fillId="13" borderId="1" applyAlignment="1" applyProtection="1" pivotButton="0" quotePrefix="0" xfId="0">
      <alignment horizontal="right" vertical="center"/>
      <protection locked="1" hidden="1"/>
    </xf>
    <xf numFmtId="0" fontId="19" fillId="14" borderId="1" applyAlignment="1" applyProtection="1" pivotButton="0" quotePrefix="0" xfId="0">
      <alignment horizontal="center" vertical="center"/>
      <protection locked="1" hidden="1"/>
    </xf>
    <xf numFmtId="0" fontId="32" fillId="9" borderId="0" applyAlignment="1" applyProtection="1" pivotButton="0" quotePrefix="0" xfId="0">
      <alignment horizontal="left" vertical="center"/>
      <protection locked="0" hidden="0"/>
    </xf>
    <xf numFmtId="169" fontId="19" fillId="14" borderId="1" applyAlignment="1" applyProtection="1" pivotButton="0" quotePrefix="0" xfId="0">
      <alignment horizontal="right" vertical="center"/>
      <protection locked="1" hidden="1"/>
    </xf>
    <xf numFmtId="0" fontId="31" fillId="9" borderId="1" applyAlignment="1" applyProtection="1" pivotButton="0" quotePrefix="0" xfId="0">
      <alignment horizontal="left" vertical="center"/>
      <protection locked="0" hidden="0"/>
    </xf>
    <xf numFmtId="168" fontId="31" fillId="9" borderId="1" applyAlignment="1" applyProtection="1" pivotButton="0" quotePrefix="0" xfId="0">
      <alignment horizontal="center" vertical="center"/>
      <protection locked="0" hidden="0"/>
    </xf>
    <xf numFmtId="169" fontId="31" fillId="9" borderId="1" applyAlignment="1" applyProtection="1" pivotButton="0" quotePrefix="0" xfId="0">
      <alignment horizontal="right" vertical="center"/>
      <protection locked="0" hidden="0"/>
    </xf>
    <xf numFmtId="0" fontId="34" fillId="10" borderId="4" applyAlignment="1" pivotButton="0" quotePrefix="0" xfId="0">
      <alignment horizontal="left" vertical="center"/>
    </xf>
    <xf numFmtId="0" fontId="33" fillId="0" borderId="4" pivotButton="0" quotePrefix="0" xfId="0"/>
    <xf numFmtId="0" fontId="35" fillId="15" borderId="4" applyAlignment="1" pivotButton="0" quotePrefix="0" xfId="0">
      <alignment horizontal="left" vertical="center"/>
    </xf>
    <xf numFmtId="0" fontId="26" fillId="12" borderId="4" applyAlignment="1" applyProtection="1" pivotButton="0" quotePrefix="0" xfId="0">
      <alignment horizontal="left" vertical="center"/>
      <protection locked="1" hidden="1"/>
    </xf>
    <xf numFmtId="0" fontId="28" fillId="0" borderId="4" applyAlignment="1" pivotButton="0" quotePrefix="0" xfId="0">
      <alignment horizontal="left" vertical="center"/>
    </xf>
    <xf numFmtId="9" fontId="20" fillId="9" borderId="3" applyAlignment="1" applyProtection="1" pivotButton="0" quotePrefix="0" xfId="0">
      <alignment horizontal="center" vertical="center"/>
      <protection locked="0" hidden="0"/>
    </xf>
    <xf numFmtId="0" fontId="23" fillId="0" borderId="4" applyAlignment="1" pivotButton="0" quotePrefix="0" xfId="0">
      <alignment horizontal="left" vertical="center" wrapText="1"/>
    </xf>
    <xf numFmtId="0" fontId="20" fillId="9" borderId="3" applyAlignment="1" applyProtection="1" pivotButton="0" quotePrefix="0" xfId="0">
      <alignment horizontal="center" vertical="center"/>
      <protection locked="0" hidden="0"/>
    </xf>
    <xf numFmtId="0" fontId="30" fillId="0" borderId="4" applyAlignment="1" applyProtection="1" pivotButton="0" quotePrefix="0" xfId="0">
      <alignment horizontal="left" vertical="center"/>
      <protection locked="1" hidden="1"/>
    </xf>
    <xf numFmtId="0" fontId="33" fillId="0" borderId="4" applyProtection="1" pivotButton="0" quotePrefix="0" xfId="0">
      <protection locked="1" hidden="1"/>
    </xf>
    <xf numFmtId="0" fontId="36" fillId="15" borderId="4" applyAlignment="1" pivotButton="0" quotePrefix="0" xfId="0">
      <alignment horizontal="left" vertical="center"/>
    </xf>
    <xf numFmtId="0" fontId="21" fillId="10" borderId="3" applyAlignment="1" pivotButton="0" quotePrefix="0" xfId="0">
      <alignment horizontal="left" vertical="center" wrapText="1"/>
    </xf>
    <xf numFmtId="0" fontId="21" fillId="10" borderId="3" applyAlignment="1" pivotButton="0" quotePrefix="0" xfId="0">
      <alignment horizontal="center" vertical="center" wrapText="1"/>
    </xf>
    <xf numFmtId="0" fontId="37" fillId="0" borderId="3" applyAlignment="1" pivotButton="0" quotePrefix="0" xfId="0">
      <alignment horizontal="left" vertical="center"/>
    </xf>
    <xf numFmtId="169" fontId="37" fillId="0" borderId="3" applyAlignment="1" applyProtection="1" pivotButton="0" quotePrefix="0" xfId="0">
      <alignment horizontal="right" vertical="center"/>
      <protection locked="1" hidden="1"/>
    </xf>
    <xf numFmtId="164" fontId="37" fillId="0" borderId="3" applyAlignment="1" applyProtection="1" pivotButton="0" quotePrefix="0" xfId="0">
      <alignment horizontal="center" vertical="center"/>
      <protection locked="1" hidden="1"/>
    </xf>
    <xf numFmtId="0" fontId="37" fillId="0" borderId="3" applyAlignment="1" applyProtection="1" pivotButton="0" quotePrefix="0" xfId="0">
      <alignment horizontal="center" vertical="center"/>
      <protection locked="1" hidden="1"/>
    </xf>
    <xf numFmtId="169" fontId="19" fillId="0" borderId="3" applyAlignment="1" applyProtection="1" pivotButton="0" quotePrefix="0" xfId="0">
      <alignment horizontal="right" vertical="center"/>
      <protection locked="1" hidden="1"/>
    </xf>
    <xf numFmtId="0" fontId="19" fillId="0" borderId="3" applyAlignment="1" applyProtection="1" pivotButton="0" quotePrefix="0" xfId="0">
      <alignment horizontal="center" vertical="center"/>
      <protection locked="1" hidden="1"/>
    </xf>
    <xf numFmtId="0" fontId="29" fillId="0" borderId="3" applyAlignment="1" pivotButton="0" quotePrefix="0" xfId="0">
      <alignment horizontal="left" vertical="center"/>
    </xf>
    <xf numFmtId="169" fontId="29" fillId="0" borderId="3" applyAlignment="1" applyProtection="1" pivotButton="0" quotePrefix="0" xfId="0">
      <alignment horizontal="right" vertical="center"/>
      <protection locked="1" hidden="1"/>
    </xf>
    <xf numFmtId="164" fontId="29" fillId="0" borderId="3" applyAlignment="1" applyProtection="1" pivotButton="0" quotePrefix="0" xfId="0">
      <alignment horizontal="center" vertical="center"/>
      <protection locked="1" hidden="1"/>
    </xf>
    <xf numFmtId="9" fontId="37" fillId="0" borderId="3" applyAlignment="1" applyProtection="1" pivotButton="0" quotePrefix="0" xfId="0">
      <alignment horizontal="center" vertical="center"/>
      <protection locked="1" hidden="1"/>
    </xf>
    <xf numFmtId="0" fontId="29" fillId="16" borderId="3" applyAlignment="1" pivotButton="0" quotePrefix="0" xfId="0">
      <alignment horizontal="left" vertical="center"/>
    </xf>
    <xf numFmtId="0" fontId="19" fillId="16" borderId="3" applyAlignment="1" pivotButton="0" quotePrefix="0" xfId="0">
      <alignment horizontal="left" vertical="center"/>
    </xf>
    <xf numFmtId="169" fontId="29" fillId="16" borderId="3" applyAlignment="1" applyProtection="1" pivotButton="0" quotePrefix="0" xfId="0">
      <alignment horizontal="right" vertical="center"/>
      <protection locked="1" hidden="1"/>
    </xf>
    <xf numFmtId="9" fontId="37" fillId="0" borderId="3" applyAlignment="1" pivotButton="0" quotePrefix="0" xfId="0">
      <alignment horizontal="center" vertical="center"/>
    </xf>
    <xf numFmtId="0" fontId="38" fillId="12" borderId="3" applyAlignment="1" pivotButton="0" quotePrefix="0" xfId="0">
      <alignment horizontal="left" vertical="center"/>
    </xf>
    <xf numFmtId="0" fontId="19" fillId="12" borderId="3" applyAlignment="1" pivotButton="0" quotePrefix="0" xfId="0">
      <alignment horizontal="left" vertical="center"/>
    </xf>
    <xf numFmtId="169" fontId="38" fillId="12" borderId="3" applyAlignment="1" applyProtection="1" pivotButton="0" quotePrefix="0" xfId="0">
      <alignment horizontal="right" vertical="center"/>
      <protection locked="1" hidden="1"/>
    </xf>
    <xf numFmtId="0" fontId="23" fillId="0" borderId="3" applyAlignment="1" pivotButton="0" quotePrefix="0" xfId="0">
      <alignment horizontal="left" vertical="center"/>
    </xf>
    <xf numFmtId="0" fontId="39" fillId="0" borderId="4" applyAlignment="1" pivotButton="0" quotePrefix="0" xfId="0">
      <alignment horizontal="left" vertical="center"/>
    </xf>
    <xf numFmtId="0" fontId="40" fillId="0" borderId="4" applyAlignment="1" pivotButton="0" quotePrefix="0" xfId="0">
      <alignment horizontal="left" vertical="center" wrapText="1"/>
    </xf>
    <xf numFmtId="0" fontId="41" fillId="0" borderId="4" applyAlignment="1" pivotButton="0" quotePrefix="0" xfId="0">
      <alignment horizontal="left" vertical="center" wrapText="1"/>
    </xf>
    <xf numFmtId="0" fontId="42" fillId="10" borderId="4" applyAlignment="1" pivotButton="0" quotePrefix="0" xfId="0">
      <alignment horizontal="left" vertical="center"/>
    </xf>
    <xf numFmtId="169" fontId="24" fillId="0" borderId="0" applyAlignment="1" applyProtection="1" pivotButton="0" quotePrefix="0" xfId="0">
      <alignment horizontal="left" vertical="center"/>
      <protection locked="1" hidden="1"/>
    </xf>
    <xf numFmtId="10" fontId="24" fillId="0" borderId="0" applyAlignment="1" applyProtection="1" pivotButton="0" quotePrefix="0" xfId="0">
      <alignment horizontal="left" vertical="center"/>
      <protection locked="1" hidden="1"/>
    </xf>
  </cellXfs>
  <cellStyles count="1">
    <cellStyle name="Normal" xfId="0" builtinId="0"/>
  </cellStyle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7CC"/>
      <rgbColor rgb="FFDCFCE7"/>
      <rgbColor rgb="FF660066"/>
      <rgbColor rgb="FFFF8080"/>
      <rgbColor rgb="FF2748A8"/>
      <rgbColor rgb="FFCBD5E1"/>
      <rgbColor rgb="FF000080"/>
      <rgbColor rgb="FFFF00FF"/>
      <rgbColor rgb="FFFFFF00"/>
      <rgbColor rgb="FF00FFFF"/>
      <rgbColor rgb="FF800080"/>
      <rgbColor rgb="FF800000"/>
      <rgbColor rgb="FF008080"/>
      <rgbColor rgb="FF0000FF"/>
      <rgbColor rgb="FF00CCFF"/>
      <rgbColor rgb="FFF1F5F9"/>
      <rgbColor rgb="FFCCFFCC"/>
      <rgbColor rgb="FFFFFF99"/>
      <rgbColor rgb="FF99CCFF"/>
      <rgbColor rgb="FFFF99CC"/>
      <rgbColor rgb="FFCC99FF"/>
      <rgbColor rgb="FFFFCC99"/>
      <rgbColor rgb="FF3366FF"/>
      <rgbColor rgb="FF33CCCC"/>
      <rgbColor rgb="FF99CC00"/>
      <rgbColor rgb="FFFFCC00"/>
      <rgbColor rgb="FFFF9900"/>
      <rgbColor rgb="FFF97316"/>
      <rgbColor rgb="FF64748B"/>
      <rgbColor rgb="FF969696"/>
      <rgbColor rgb="FF003366"/>
      <rgbColor rgb="FF339966"/>
      <rgbColor rgb="FF003300"/>
      <rgbColor rgb="FF333300"/>
      <rgbColor rgb="FF993300"/>
      <rgbColor rgb="FF993366"/>
      <rgbColor rgb="FF1E3A8A"/>
      <rgbColor rgb="FF334155"/>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H29"/>
  <sheetViews>
    <sheetView showGridLines="0" zoomScaleNormal="100" workbookViewId="0">
      <selection activeCell="A1" sqref="A1:H1"/>
    </sheetView>
  </sheetViews>
  <sheetFormatPr baseColWidth="8" defaultColWidth="8.6640625" defaultRowHeight="14.25" outlineLevelCol="0"/>
  <cols>
    <col width="14" customWidth="1" style="37" min="1" max="8"/>
  </cols>
  <sheetData>
    <row r="1" ht="27.75" customHeight="1" s="37">
      <c r="A1" s="39" t="inlineStr">
        <is>
          <t>CalcGuru</t>
        </is>
      </c>
    </row>
    <row r="2" ht="19.5" customHeight="1" s="37">
      <c r="A2" s="38" t="inlineStr">
        <is>
          <t>Capital Gains Working File</t>
        </is>
      </c>
    </row>
    <row r="3" ht="15.75" customHeight="1" s="37">
      <c r="A3" s="59" t="inlineStr">
        <is>
          <t>Transaction-wise capital gains computation  |  FY 2025-26 (AY 2026-27) and FY 2026-27 (AY 2027-28)</t>
        </is>
      </c>
    </row>
    <row r="5" ht="15" customHeight="1" s="37">
      <c r="A5" s="60" t="inlineStr">
        <is>
          <t>Income-tax rules applied  (Finance (No.2) Act, 2024 - transfers on or after 23 July 2024).  The rates are IDENTICAL for FY 2025-26 and FY 2026-27:</t>
        </is>
      </c>
    </row>
    <row r="6" ht="15" customHeight="1" s="37">
      <c r="A6" s="41" t="inlineStr">
        <is>
          <t>Listed equity shares / equity MF (STT paid)</t>
        </is>
      </c>
    </row>
    <row r="7" ht="30" customHeight="1" s="37">
      <c r="A7" s="42" t="inlineStr">
        <is>
          <t>STCG (&lt;=12 months): 20%   |   LTCG (&gt;12 months): 12.5% on gains above Rs 1,25,000 (aggregate).</t>
        </is>
      </c>
    </row>
    <row r="8" ht="15" customHeight="1" s="37">
      <c r="A8" s="41" t="inlineStr">
        <is>
          <t xml:space="preserve">   - Grandfathering (Sec 55)</t>
        </is>
      </c>
    </row>
    <row r="9" ht="30" customHeight="1" s="37">
      <c r="A9" s="42" t="inlineStr">
        <is>
          <t>For equity bought on/before 31-Jan-2018: cost = HIGHER of [actual cost] and [LOWER of (FMV on 31-Jan-2018, sale value)]. Enter FMV in the register.</t>
        </is>
      </c>
    </row>
    <row r="10" ht="15" customHeight="1" s="37">
      <c r="A10" s="41" t="inlineStr">
        <is>
          <t>Land / Building (property)</t>
        </is>
      </c>
    </row>
    <row r="11" ht="30" customHeight="1" s="37">
      <c r="A11" s="42" t="inlineStr">
        <is>
          <t>STCG (&lt;=24 months): slab rate. LTCG (&gt;24 months): 12.5% without indexation. If acquired BEFORE 23-Jul-2024 you may pay the LOWER of 12.5% (no index) or 20% (with indexation) - this file computes both and picks the lower. Option available ONLY to RESIDENT individuals/HUF - non-residents pay 12.5% without indexation.</t>
        </is>
      </c>
    </row>
    <row r="12" ht="15" customHeight="1" s="37">
      <c r="A12" s="41" t="inlineStr">
        <is>
          <t>Unlisted shares / Gold / Other assets</t>
        </is>
      </c>
    </row>
    <row r="13" ht="30" customHeight="1" s="37">
      <c r="A13" s="42" t="inlineStr">
        <is>
          <t>STCG (&lt;=24 months): slab rate.   LTCG (&gt;24 months): 12.5% without indexation.</t>
        </is>
      </c>
    </row>
    <row r="14" ht="15" customHeight="1" s="37">
      <c r="A14" s="41" t="inlineStr">
        <is>
          <t>Debt mutual funds (purchased after 31-Mar-2023)</t>
        </is>
      </c>
    </row>
    <row r="15" ht="30" customHeight="1" s="37">
      <c r="A15" s="42" t="inlineStr">
        <is>
          <t>Always taxed at slab rate (Sec 50AA) - no LTCG benefit, no indexation, irrespective of holding period.</t>
        </is>
      </c>
    </row>
    <row r="16" ht="15" customHeight="1" s="37">
      <c r="A16" s="54" t="inlineStr">
        <is>
          <t>Financial year, sections and cess</t>
        </is>
      </c>
    </row>
    <row r="17" ht="30" customHeight="1" s="37">
      <c r="A17" s="54" t="inlineStr">
        <is>
          <t>Pick the FY on the CG Register (cell C6). FY 2025-26 is governed by the Income-tax Act, 1961 (s.111A / 112 / 112A); FY 2026-27 by the Income-tax Act, 2025 (s.196 / 197 / 198). Same rates, renumbered sections. Sale dates are validated against the FY you pick. Cess 4%; surcharge is an input on the Summary and is capped at 15% on capital gains.</t>
        </is>
      </c>
    </row>
    <row r="19" ht="15" customHeight="1" s="37">
      <c r="A19" s="44" t="inlineStr">
        <is>
          <t>How to use this file</t>
        </is>
      </c>
    </row>
    <row r="20" ht="15" customHeight="1" s="37">
      <c r="A20" s="42" t="inlineStr">
        <is>
          <t>1. Enter each sale transaction as one row in the 'CG Register' sheet (yellow input cells only).</t>
        </is>
      </c>
    </row>
    <row r="21" ht="15" customHeight="1" s="37">
      <c r="A21" s="42" t="inlineStr">
        <is>
          <t>2. Pick the Asset Type from the dropdown - the file auto-classifies STCG/LTCG and applies the correct rule.</t>
        </is>
      </c>
    </row>
    <row r="22" ht="15" customHeight="1" s="37">
      <c r="A22" s="42" t="inlineStr">
        <is>
          <t>3. For pre-2018 listed equity, enter FMV as on 31-Jan-2018 to get grandfathering benefit.</t>
        </is>
      </c>
    </row>
    <row r="23" ht="15" customHeight="1" s="37">
      <c r="A23" s="42" t="inlineStr">
        <is>
          <t>4. The 'Summary' sheet aggregates gains by head, applies the Rs 1.25 lakh equity LTCG exemption, and computes tax + cess.</t>
        </is>
      </c>
    </row>
    <row r="24" ht="15" customHeight="1" s="37">
      <c r="A24" s="42" t="inlineStr">
        <is>
          <t>5. Enter your applicable slab rate on the Summary sheet (for slab-taxed STCG / debt fund gains).</t>
        </is>
      </c>
    </row>
    <row r="25" ht="15" customHeight="1" s="37">
      <c r="A25" s="54" t="inlineStr">
        <is>
          <t>6.  CII table is on the "CII &amp; Rules" sheet. CII for FY 2026-27 is NOT yet notified by CBDT (checked July 2026) - a placeholder is used and flagged in red. Replace it when notified.</t>
        </is>
      </c>
    </row>
    <row r="26" ht="28.05" customHeight="1" s="37">
      <c r="A26" s="42" t="inlineStr">
        <is>
          <t>7. Assets acquired before 01-04-2001: take cost = FMV as on 01-04-2001 and enter Purchase Date as 01-04-2001.   8. From 01-Apr-2026 the Income-tax Act 2025 renumbers: Sec 111A -&gt; 196, Sec 112 -&gt; 197, Sec 112A -&gt; 198 (rates unchanged; old sections cited for familiarity).</t>
        </is>
      </c>
    </row>
    <row r="27" ht="25.5" customHeight="1" s="37">
      <c r="A27" s="45" t="inlineStr">
        <is>
          <t>Disclaimer: This template is a working aid for tax computation. Verify against the Income-tax Act and current notifications. Not a substitute for professional judgement.</t>
        </is>
      </c>
    </row>
    <row r="29" ht="15" customHeight="1" s="37">
      <c r="A29" s="43" t="inlineStr">
        <is>
          <t>Prepared by CA Tirumalesh Malla  |  calcguru.in  |  Free CA working files &amp; calculators</t>
        </is>
      </c>
    </row>
  </sheetData>
  <sheetProtection selectLockedCells="0" selectUnlockedCells="0" sheet="1" objects="0" insertRows="1" insertHyperlinks="1" autoFilter="0" scenarios="0" formatColumns="0" deleteColumns="1" insertColumns="0" pivotTables="1" deleteRows="1" formatCells="0" formatRows="0" sort="0" password="BBBC"/>
  <mergeCells count="24">
    <mergeCell ref="A9:H9"/>
    <mergeCell ref="A15:H15"/>
    <mergeCell ref="A24:H24"/>
    <mergeCell ref="A11:H11"/>
    <mergeCell ref="A1:H1"/>
    <mergeCell ref="A6:H6"/>
    <mergeCell ref="A7:H7"/>
    <mergeCell ref="A25:H25"/>
    <mergeCell ref="A16:H16"/>
    <mergeCell ref="A27:H27"/>
    <mergeCell ref="A12:H12"/>
    <mergeCell ref="A26:H26"/>
    <mergeCell ref="A21:H21"/>
    <mergeCell ref="A2:H2"/>
    <mergeCell ref="A14:H14"/>
    <mergeCell ref="A23:H23"/>
    <mergeCell ref="A8:H8"/>
    <mergeCell ref="A22:H22"/>
    <mergeCell ref="A17:H17"/>
    <mergeCell ref="A29:H29"/>
    <mergeCell ref="A20:H20"/>
    <mergeCell ref="A10:H10"/>
    <mergeCell ref="A13:H13"/>
    <mergeCell ref="A19:H19"/>
  </mergeCells>
  <printOptions horizontalCentered="1"/>
  <pageMargins left="0.35" right="0.35" top="0.45" bottom="0.45" header="0.511811023622047" footer="0.511811023622047"/>
  <pageSetup orientation="portrait" paperSize="9" fitToHeight="0" fitToWidth="1" horizontalDpi="300" verticalDpi="300"/>
</worksheet>
</file>

<file path=xl/worksheets/sheet2.xml><?xml version="1.0" encoding="utf-8"?>
<worksheet xmlns="http://schemas.openxmlformats.org/spreadsheetml/2006/main">
  <sheetPr>
    <outlinePr summaryBelow="1" summaryRight="1"/>
    <pageSetUpPr fitToPage="1"/>
  </sheetPr>
  <dimension ref="A1:Q208"/>
  <sheetViews>
    <sheetView showGridLines="0" topLeftCell="B1" zoomScaleNormal="100" workbookViewId="0">
      <pane ySplit="8" topLeftCell="A9" activePane="bottomLeft" state="frozen"/>
      <selection pane="bottomLeft" activeCell="B10" sqref="B10"/>
    </sheetView>
  </sheetViews>
  <sheetFormatPr baseColWidth="8" defaultColWidth="8.6640625" defaultRowHeight="14.25" outlineLevelCol="0"/>
  <cols>
    <col width="6" customWidth="1" style="37" min="1" max="1"/>
    <col width="30" customWidth="1" style="37" min="2" max="2"/>
    <col width="32" customWidth="1" style="37" min="3" max="3"/>
    <col width="13" customWidth="1" style="37" min="4" max="5"/>
    <col width="13" customWidth="1" style="37" min="5" max="5"/>
    <col width="14" customWidth="1" style="37" min="6" max="7"/>
    <col width="14" customWidth="1" style="37" min="7" max="7"/>
    <col width="13" customWidth="1" style="37" min="8" max="9"/>
    <col width="14" customWidth="1" style="37" min="9" max="9"/>
    <col width="9" customWidth="1" style="37" min="10" max="10"/>
    <col width="8" customWidth="1" style="37" min="11" max="11"/>
    <col width="14" customWidth="1" style="37" min="12" max="14"/>
    <col width="14" customWidth="1" style="37" min="13" max="13"/>
    <col width="14" customWidth="1" style="37" min="14" max="14"/>
    <col width="15" customWidth="1" style="37" min="15" max="15"/>
    <col width="11" customWidth="1" style="37" min="16" max="16"/>
    <col width="14" customWidth="1" style="37" min="17" max="17"/>
  </cols>
  <sheetData>
    <row r="1" ht="27.75" customHeight="1" s="37">
      <c r="A1" s="39" t="inlineStr">
        <is>
          <t>CalcGuru</t>
        </is>
      </c>
    </row>
    <row r="2" ht="19.5" customHeight="1" s="37">
      <c r="A2" s="38" t="inlineStr">
        <is>
          <t>Capital Gains Register</t>
        </is>
      </c>
    </row>
    <row r="3" ht="15.75" customHeight="1" s="37">
      <c r="A3" s="61">
        <f>"One row per sale transaction.  Fill only the yellow cells.   "&amp;FY_Sel&amp;"  ("&amp;AY_Label&amp;")"</f>
        <v/>
      </c>
    </row>
    <row r="5" ht="25" customHeight="1" s="37">
      <c r="A5" s="62" t="inlineStr">
        <is>
          <t>Yellow = input.  Grey = auto-computed (locked).  "pooled" in the Tax column means the row is taxed in the Summary as part of the equity-LTCG pool (the Rs 1.25 lakh exemption is an annual, not a per-row, relief).  For property bought before 01-Apr-2001, enter the FMV as on 01-Apr-2001 as the cost and 01-Apr-2001 as the purchase date.</t>
        </is>
      </c>
    </row>
    <row r="6" ht="18" customHeight="1" s="37">
      <c r="A6" s="63" t="inlineStr">
        <is>
          <t>Financial Year of sale</t>
        </is>
      </c>
      <c r="C6" s="64" t="inlineStr">
        <is>
          <t>FY 2025-26</t>
        </is>
      </c>
      <c r="D6" s="65">
        <f>AY_Label&amp;"   |   Sale date must fall between "&amp;TEXT(FY_Start,"dd-mmm-yyyy")&amp;" and "&amp;TEXT(FY_End,"dd-mmm-yyyy")</f>
        <v/>
      </c>
      <c r="I6" s="66">
        <f>IF(SUMPRODUCT((($D$9:$D$208&lt;&gt;"")*(NOT(ISNUMBER($D$9:$D$208))))+(($E$9:$E$208&lt;&gt;"")*(NOT(ISNUMBER($E$9:$E$208)))))&gt;0,"!!  One or more dates are TEXT, not real dates - delete and retype them (dd-mmm-yyyy).",IF(SUMPRODUCT((ISNUMBER($E$9:$E$208))*(($E$9:$E$208&lt;FY_Start)+($E$9:$E$208&gt;FY_End)))&gt;0,"!!  One or more sale dates fall outside "&amp;FY_Sel&amp;".","")) </f>
        <v/>
      </c>
    </row>
    <row r="8" ht="30" customHeight="1" s="37">
      <c r="A8" s="9" t="inlineStr">
        <is>
          <t>S.No</t>
        </is>
      </c>
      <c r="B8" s="9" t="inlineStr">
        <is>
          <t>Asset Description</t>
        </is>
      </c>
      <c r="C8" s="9" t="inlineStr">
        <is>
          <t>Asset Type</t>
        </is>
      </c>
      <c r="D8" s="9" t="inlineStr">
        <is>
          <t>Purchase Date</t>
        </is>
      </c>
      <c r="E8" s="9" t="inlineStr">
        <is>
          <t>Sale Date</t>
        </is>
      </c>
      <c r="F8" s="9" t="inlineStr">
        <is>
          <t>Purchase Cost (Rs)</t>
        </is>
      </c>
      <c r="G8" s="9" t="inlineStr">
        <is>
          <t>Sale Value (Rs)</t>
        </is>
      </c>
      <c r="H8" s="9" t="inlineStr">
        <is>
          <t>Transfer Expenses (Rs)</t>
        </is>
      </c>
      <c r="I8" s="9" t="inlineStr">
        <is>
          <t>FMV 31-Jan-18 (equity)</t>
        </is>
      </c>
      <c r="J8" s="9" t="inlineStr">
        <is>
          <t>Holding (months)</t>
        </is>
      </c>
      <c r="K8" s="9" t="inlineStr">
        <is>
          <t>Term</t>
        </is>
      </c>
      <c r="L8" s="9" t="inlineStr">
        <is>
          <t>Net Consideration</t>
        </is>
      </c>
      <c r="M8" s="9" t="inlineStr">
        <is>
          <t>Indexed Cost</t>
        </is>
      </c>
      <c r="N8" s="9" t="inlineStr">
        <is>
          <t>Effective Cost</t>
        </is>
      </c>
      <c r="O8" s="9" t="inlineStr">
        <is>
          <t>Capital Gain (Rs)</t>
        </is>
      </c>
      <c r="P8" s="9" t="inlineStr">
        <is>
          <t>Tax Category</t>
        </is>
      </c>
      <c r="Q8" s="9" t="inlineStr">
        <is>
          <t>Tax on row (Rs)</t>
        </is>
      </c>
    </row>
    <row r="9" ht="15" customHeight="1" s="37">
      <c r="A9" s="67">
        <f>IF($C9="","",ROW()-8)</f>
        <v/>
      </c>
      <c r="B9" s="68" t="inlineStr">
        <is>
          <t>SAMPLE - Infosys shares (delete this row)</t>
        </is>
      </c>
      <c r="C9" s="68" t="inlineStr">
        <is>
          <t>Listed Equity / Equity MF (STT paid)</t>
        </is>
      </c>
      <c r="D9" s="69" t="n">
        <v>44200</v>
      </c>
      <c r="E9" s="69" t="n">
        <v>46022</v>
      </c>
      <c r="F9" s="70" t="n">
        <v>1500000</v>
      </c>
      <c r="G9" s="70" t="n">
        <v>2500000</v>
      </c>
      <c r="H9" s="70" t="n">
        <v>45000</v>
      </c>
      <c r="I9" s="70" t="n"/>
      <c r="J9" s="67">
        <f>IF(OR($C9="",NOT(ISNUMBER($D9)),NOT(ISNUMBER($E9))),"",DATEDIF($D9,$E9,"m"))</f>
        <v/>
      </c>
      <c r="K9" s="67">
        <f>IF(OR($C9="",NOT(ISNUMBER($D9)),NOT(ISNUMBER($E9))),"",IF($E9&gt;EDATE($D9,INDEX(AM_LTm,MATCH($C9,AM_Type,0))),"LTCG","STCG"))</f>
        <v/>
      </c>
      <c r="L9" s="71">
        <f>IF($C9="","",$G9-$H9)</f>
        <v/>
      </c>
      <c r="M9" s="71">
        <f>IF(OR($C9="",NOT(ISNUMBER($D9)),NOT(ISNUMBER($E9))),"",IF(AND(INDEX(AM_Index,MATCH($C9,AM_Type,0))=1,$K9="LTCG",$D9&lt;DATE(2024,7,23),Resident="Yes"),$F9*INDEX(CII_Val,MATCH(IF(MONTH($E9)&gt;=4,YEAR($E9),YEAR($E9)-1),CII_Year,0))/INDEX(CII_Val,MATCH(MAX(2001,IF(MONTH($D9)&gt;=4,YEAR($D9),YEAR($D9)-1)),CII_Year,0)),""))</f>
        <v/>
      </c>
      <c r="N9" s="71">
        <f>IF($C9="","",IF(AND(INDEX(AM_Grand,MATCH($C9,AM_Type,0))=1,$K9="LTCG",ISNUMBER($D9),$D9&lt;DATE(2018,2,1),$I9&lt;&gt;""),MAX($F9,MIN($I9,$G9)),$F9))</f>
        <v/>
      </c>
      <c r="O9" s="71">
        <f>IF($C9="","",$L9-$N9)</f>
        <v/>
      </c>
      <c r="P9" s="67">
        <f>IF($C9="","",IF(INDEX(AM_Cat,MATCH($C9,AM_Type,0))="SLABONLY","SLAB",IF($K9="","",IF($K9="STCG",IF(INDEX(AM_Cat,MATCH($C9,AM_Type,0))="EQ","EQ-ST","SLAB"),IF(INDEX(AM_Cat,MATCH($C9,AM_Type,0))="EQ","EQ-LT",IF(INDEX(AM_Cat,MATCH($C9,AM_Type,0))="PROP","PROP-LT","FLAT-LT"))))))</f>
        <v/>
      </c>
      <c r="Q9" s="71">
        <f>IF($C9="","",IF($P9="","",IF($P9="EQ-LT","pooled",IF($P9="EQ-ST",MAX(0,0.2*$O9),IF($P9="PROP-LT",IF($M9="",MAX(0,0.125*$O9),MAX(0,MIN(0.125*$O9,0.2*($L9-$M9)))),IF($P9="FLAT-LT",MAX(0,0.125*$O9),IF($P9="SLAB",MAX(0,Slab_Rate*$O9),"")))))))</f>
        <v/>
      </c>
    </row>
    <row r="10" ht="15" customHeight="1" s="37">
      <c r="A10" s="72">
        <f>IF($C10="","",ROW()-8)</f>
        <v/>
      </c>
      <c r="B10" s="73" t="inlineStr">
        <is>
          <t>SAMPLE - flat in Pune (delete this row)</t>
        </is>
      </c>
      <c r="C10" s="68" t="inlineStr">
        <is>
          <t>Land / Building (Property)</t>
        </is>
      </c>
      <c r="D10" s="69" t="n">
        <v>42536</v>
      </c>
      <c r="E10" s="69" t="n">
        <v>45981</v>
      </c>
      <c r="F10" s="70" t="n">
        <v>4000000</v>
      </c>
      <c r="G10" s="70" t="n">
        <v>9000000</v>
      </c>
      <c r="H10" s="70" t="n">
        <v>150000</v>
      </c>
      <c r="I10" s="70" t="n"/>
      <c r="J10" s="72">
        <f>IF(OR($C10="",NOT(ISNUMBER($D10)),NOT(ISNUMBER($E10))),"",DATEDIF($D10,$E10,"m"))</f>
        <v/>
      </c>
      <c r="K10" s="72">
        <f>IF(OR($C10="",NOT(ISNUMBER($D10)),NOT(ISNUMBER($E10))),"",IF($E10&gt;EDATE($D10,INDEX(AM_LTm,MATCH($C10,AM_Type,0))),"LTCG","STCG"))</f>
        <v/>
      </c>
      <c r="L10" s="74">
        <f>IF($C10="","",$G10-$H10)</f>
        <v/>
      </c>
      <c r="M10" s="74">
        <f>IF(OR($C10="",NOT(ISNUMBER($D10)),NOT(ISNUMBER($E10))),"",IF(AND(INDEX(AM_Index,MATCH($C10,AM_Type,0))=1,$K10="LTCG",$D10&lt;DATE(2024,7,23),Resident="Yes"),$F10*INDEX(CII_Val,MATCH(IF(MONTH($E10)&gt;=4,YEAR($E10),YEAR($E10)-1),CII_Year,0))/INDEX(CII_Val,MATCH(MAX(2001,IF(MONTH($D10)&gt;=4,YEAR($D10),YEAR($D10)-1)),CII_Year,0)),""))</f>
        <v/>
      </c>
      <c r="N10" s="74">
        <f>IF($C10="","",IF(AND(INDEX(AM_Grand,MATCH($C10,AM_Type,0))=1,$K10="LTCG",ISNUMBER($D10),$D10&lt;DATE(2018,2,1),$I10&lt;&gt;""),MAX($F10,MIN($I10,$G10)),$F10))</f>
        <v/>
      </c>
      <c r="O10" s="74">
        <f>IF($C10="","",$L10-$N10)</f>
        <v/>
      </c>
      <c r="P10" s="72">
        <f>IF($C10="","",IF(INDEX(AM_Cat,MATCH($C10,AM_Type,0))="SLABONLY","SLAB",IF($K10="","",IF($K10="STCG",IF(INDEX(AM_Cat,MATCH($C10,AM_Type,0))="EQ","EQ-ST","SLAB"),IF(INDEX(AM_Cat,MATCH($C10,AM_Type,0))="EQ","EQ-LT",IF(INDEX(AM_Cat,MATCH($C10,AM_Type,0))="PROP","PROP-LT","FLAT-LT"))))))</f>
        <v/>
      </c>
      <c r="Q10" s="74">
        <f>IF($C10="","",IF($P10="","",IF($P10="EQ-LT","pooled",IF($P10="EQ-ST",MAX(0,0.2*$O10),IF($P10="PROP-LT",IF($M10="",MAX(0,0.125*$O10),MAX(0,MIN(0.125*$O10,0.2*($L10-$M10)))),IF($P10="FLAT-LT",MAX(0,0.125*$O10),IF($P10="SLAB",MAX(0,Slab_Rate*$O10),"")))))))</f>
        <v/>
      </c>
    </row>
    <row r="11" ht="15" customHeight="1" s="37">
      <c r="A11" s="67">
        <f>IF($C11="","",ROW()-8)</f>
        <v/>
      </c>
      <c r="B11" s="75" t="n"/>
      <c r="C11" s="75" t="n"/>
      <c r="D11" s="76" t="n"/>
      <c r="E11" s="76" t="n"/>
      <c r="F11" s="77" t="n"/>
      <c r="G11" s="77" t="n"/>
      <c r="H11" s="77" t="n"/>
      <c r="I11" s="77" t="n"/>
      <c r="J11" s="67">
        <f>IF(OR($C11="",NOT(ISNUMBER($D11)),NOT(ISNUMBER($E11))),"",DATEDIF($D11,$E11,"m"))</f>
        <v/>
      </c>
      <c r="K11" s="67">
        <f>IF(OR($C11="",NOT(ISNUMBER($D11)),NOT(ISNUMBER($E11))),"",IF($E11&gt;EDATE($D11,INDEX(AM_LTm,MATCH($C11,AM_Type,0))),"LTCG","STCG"))</f>
        <v/>
      </c>
      <c r="L11" s="71">
        <f>IF($C11="","",$G11-$H11)</f>
        <v/>
      </c>
      <c r="M11" s="71">
        <f>IF(OR($C11="",NOT(ISNUMBER($D11)),NOT(ISNUMBER($E11))),"",IF(AND(INDEX(AM_Index,MATCH($C11,AM_Type,0))=1,$K11="LTCG",$D11&lt;DATE(2024,7,23),Resident="Yes"),$F11*INDEX(CII_Val,MATCH(IF(MONTH($E11)&gt;=4,YEAR($E11),YEAR($E11)-1),CII_Year,0))/INDEX(CII_Val,MATCH(MAX(2001,IF(MONTH($D11)&gt;=4,YEAR($D11),YEAR($D11)-1)),CII_Year,0)),""))</f>
        <v/>
      </c>
      <c r="N11" s="71">
        <f>IF($C11="","",IF(AND(INDEX(AM_Grand,MATCH($C11,AM_Type,0))=1,$K11="LTCG",ISNUMBER($D11),$D11&lt;DATE(2018,2,1),$I11&lt;&gt;""),MAX($F11,MIN($I11,$G11)),$F11))</f>
        <v/>
      </c>
      <c r="O11" s="71">
        <f>IF($C11="","",$L11-$N11)</f>
        <v/>
      </c>
      <c r="P11" s="67">
        <f>IF($C11="","",IF(INDEX(AM_Cat,MATCH($C11,AM_Type,0))="SLABONLY","SLAB",IF($K11="","",IF($K11="STCG",IF(INDEX(AM_Cat,MATCH($C11,AM_Type,0))="EQ","EQ-ST","SLAB"),IF(INDEX(AM_Cat,MATCH($C11,AM_Type,0))="EQ","EQ-LT",IF(INDEX(AM_Cat,MATCH($C11,AM_Type,0))="PROP","PROP-LT","FLAT-LT"))))))</f>
        <v/>
      </c>
      <c r="Q11" s="71">
        <f>IF($C11="","",IF($P11="","",IF($P11="EQ-LT","pooled",IF($P11="EQ-ST",MAX(0,0.2*$O11),IF($P11="PROP-LT",IF($M11="",MAX(0,0.125*$O11),MAX(0,MIN(0.125*$O11,0.2*($L11-$M11)))),IF($P11="FLAT-LT",MAX(0,0.125*$O11),IF($P11="SLAB",MAX(0,Slab_Rate*$O11),"")))))))</f>
        <v/>
      </c>
    </row>
    <row r="12" ht="15" customHeight="1" s="37">
      <c r="A12" s="72">
        <f>IF($C12="","",ROW()-8)</f>
        <v/>
      </c>
      <c r="B12" s="75" t="n"/>
      <c r="C12" s="75" t="n"/>
      <c r="D12" s="76" t="n"/>
      <c r="E12" s="76" t="n"/>
      <c r="F12" s="77" t="n"/>
      <c r="G12" s="77" t="n"/>
      <c r="H12" s="77" t="n"/>
      <c r="I12" s="77" t="n"/>
      <c r="J12" s="72">
        <f>IF(OR($C12="",NOT(ISNUMBER($D12)),NOT(ISNUMBER($E12))),"",DATEDIF($D12,$E12,"m"))</f>
        <v/>
      </c>
      <c r="K12" s="72">
        <f>IF(OR($C12="",NOT(ISNUMBER($D12)),NOT(ISNUMBER($E12))),"",IF($E12&gt;EDATE($D12,INDEX(AM_LTm,MATCH($C12,AM_Type,0))),"LTCG","STCG"))</f>
        <v/>
      </c>
      <c r="L12" s="74">
        <f>IF($C12="","",$G12-$H12)</f>
        <v/>
      </c>
      <c r="M12" s="74">
        <f>IF(OR($C12="",NOT(ISNUMBER($D12)),NOT(ISNUMBER($E12))),"",IF(AND(INDEX(AM_Index,MATCH($C12,AM_Type,0))=1,$K12="LTCG",$D12&lt;DATE(2024,7,23),Resident="Yes"),$F12*INDEX(CII_Val,MATCH(IF(MONTH($E12)&gt;=4,YEAR($E12),YEAR($E12)-1),CII_Year,0))/INDEX(CII_Val,MATCH(MAX(2001,IF(MONTH($D12)&gt;=4,YEAR($D12),YEAR($D12)-1)),CII_Year,0)),""))</f>
        <v/>
      </c>
      <c r="N12" s="74">
        <f>IF($C12="","",IF(AND(INDEX(AM_Grand,MATCH($C12,AM_Type,0))=1,$K12="LTCG",ISNUMBER($D12),$D12&lt;DATE(2018,2,1),$I12&lt;&gt;""),MAX($F12,MIN($I12,$G12)),$F12))</f>
        <v/>
      </c>
      <c r="O12" s="74">
        <f>IF($C12="","",$L12-$N12)</f>
        <v/>
      </c>
      <c r="P12" s="72">
        <f>IF($C12="","",IF(INDEX(AM_Cat,MATCH($C12,AM_Type,0))="SLABONLY","SLAB",IF($K12="","",IF($K12="STCG",IF(INDEX(AM_Cat,MATCH($C12,AM_Type,0))="EQ","EQ-ST","SLAB"),IF(INDEX(AM_Cat,MATCH($C12,AM_Type,0))="EQ","EQ-LT",IF(INDEX(AM_Cat,MATCH($C12,AM_Type,0))="PROP","PROP-LT","FLAT-LT"))))))</f>
        <v/>
      </c>
      <c r="Q12" s="74">
        <f>IF($C12="","",IF($P12="","",IF($P12="EQ-LT","pooled",IF($P12="EQ-ST",MAX(0,0.2*$O12),IF($P12="PROP-LT",IF($M12="",MAX(0,0.125*$O12),MAX(0,MIN(0.125*$O12,0.2*($L12-$M12)))),IF($P12="FLAT-LT",MAX(0,0.125*$O12),IF($P12="SLAB",MAX(0,Slab_Rate*$O12),"")))))))</f>
        <v/>
      </c>
    </row>
    <row r="13" ht="15" customHeight="1" s="37">
      <c r="A13" s="67">
        <f>IF($C13="","",ROW()-8)</f>
        <v/>
      </c>
      <c r="B13" s="75" t="n"/>
      <c r="C13" s="75" t="n"/>
      <c r="D13" s="76" t="n"/>
      <c r="E13" s="76" t="n"/>
      <c r="F13" s="77" t="n"/>
      <c r="G13" s="77" t="n"/>
      <c r="H13" s="77" t="n"/>
      <c r="I13" s="77" t="n"/>
      <c r="J13" s="67">
        <f>IF(OR($C13="",NOT(ISNUMBER($D13)),NOT(ISNUMBER($E13))),"",DATEDIF($D13,$E13,"m"))</f>
        <v/>
      </c>
      <c r="K13" s="67">
        <f>IF(OR($C13="",NOT(ISNUMBER($D13)),NOT(ISNUMBER($E13))),"",IF($E13&gt;EDATE($D13,INDEX(AM_LTm,MATCH($C13,AM_Type,0))),"LTCG","STCG"))</f>
        <v/>
      </c>
      <c r="L13" s="71">
        <f>IF($C13="","",$G13-$H13)</f>
        <v/>
      </c>
      <c r="M13" s="71">
        <f>IF(OR($C13="",NOT(ISNUMBER($D13)),NOT(ISNUMBER($E13))),"",IF(AND(INDEX(AM_Index,MATCH($C13,AM_Type,0))=1,$K13="LTCG",$D13&lt;DATE(2024,7,23),Resident="Yes"),$F13*INDEX(CII_Val,MATCH(IF(MONTH($E13)&gt;=4,YEAR($E13),YEAR($E13)-1),CII_Year,0))/INDEX(CII_Val,MATCH(MAX(2001,IF(MONTH($D13)&gt;=4,YEAR($D13),YEAR($D13)-1)),CII_Year,0)),""))</f>
        <v/>
      </c>
      <c r="N13" s="71">
        <f>IF($C13="","",IF(AND(INDEX(AM_Grand,MATCH($C13,AM_Type,0))=1,$K13="LTCG",ISNUMBER($D13),$D13&lt;DATE(2018,2,1),$I13&lt;&gt;""),MAX($F13,MIN($I13,$G13)),$F13))</f>
        <v/>
      </c>
      <c r="O13" s="71">
        <f>IF($C13="","",$L13-$N13)</f>
        <v/>
      </c>
      <c r="P13" s="67">
        <f>IF($C13="","",IF(INDEX(AM_Cat,MATCH($C13,AM_Type,0))="SLABONLY","SLAB",IF($K13="","",IF($K13="STCG",IF(INDEX(AM_Cat,MATCH($C13,AM_Type,0))="EQ","EQ-ST","SLAB"),IF(INDEX(AM_Cat,MATCH($C13,AM_Type,0))="EQ","EQ-LT",IF(INDEX(AM_Cat,MATCH($C13,AM_Type,0))="PROP","PROP-LT","FLAT-LT"))))))</f>
        <v/>
      </c>
      <c r="Q13" s="71">
        <f>IF($C13="","",IF($P13="","",IF($P13="EQ-LT","pooled",IF($P13="EQ-ST",MAX(0,0.2*$O13),IF($P13="PROP-LT",IF($M13="",MAX(0,0.125*$O13),MAX(0,MIN(0.125*$O13,0.2*($L13-$M13)))),IF($P13="FLAT-LT",MAX(0,0.125*$O13),IF($P13="SLAB",MAX(0,Slab_Rate*$O13),"")))))))</f>
        <v/>
      </c>
    </row>
    <row r="14" ht="15" customHeight="1" s="37">
      <c r="A14" s="72">
        <f>IF($C14="","",ROW()-8)</f>
        <v/>
      </c>
      <c r="B14" s="75" t="n"/>
      <c r="C14" s="75" t="n"/>
      <c r="D14" s="76" t="n"/>
      <c r="E14" s="76" t="n"/>
      <c r="F14" s="77" t="n"/>
      <c r="G14" s="77" t="n"/>
      <c r="H14" s="77" t="n"/>
      <c r="I14" s="77" t="n"/>
      <c r="J14" s="72">
        <f>IF(OR($C14="",NOT(ISNUMBER($D14)),NOT(ISNUMBER($E14))),"",DATEDIF($D14,$E14,"m"))</f>
        <v/>
      </c>
      <c r="K14" s="72">
        <f>IF(OR($C14="",NOT(ISNUMBER($D14)),NOT(ISNUMBER($E14))),"",IF($E14&gt;EDATE($D14,INDEX(AM_LTm,MATCH($C14,AM_Type,0))),"LTCG","STCG"))</f>
        <v/>
      </c>
      <c r="L14" s="74">
        <f>IF($C14="","",$G14-$H14)</f>
        <v/>
      </c>
      <c r="M14" s="74">
        <f>IF(OR($C14="",NOT(ISNUMBER($D14)),NOT(ISNUMBER($E14))),"",IF(AND(INDEX(AM_Index,MATCH($C14,AM_Type,0))=1,$K14="LTCG",$D14&lt;DATE(2024,7,23),Resident="Yes"),$F14*INDEX(CII_Val,MATCH(IF(MONTH($E14)&gt;=4,YEAR($E14),YEAR($E14)-1),CII_Year,0))/INDEX(CII_Val,MATCH(MAX(2001,IF(MONTH($D14)&gt;=4,YEAR($D14),YEAR($D14)-1)),CII_Year,0)),""))</f>
        <v/>
      </c>
      <c r="N14" s="74">
        <f>IF($C14="","",IF(AND(INDEX(AM_Grand,MATCH($C14,AM_Type,0))=1,$K14="LTCG",ISNUMBER($D14),$D14&lt;DATE(2018,2,1),$I14&lt;&gt;""),MAX($F14,MIN($I14,$G14)),$F14))</f>
        <v/>
      </c>
      <c r="O14" s="74">
        <f>IF($C14="","",$L14-$N14)</f>
        <v/>
      </c>
      <c r="P14" s="72">
        <f>IF($C14="","",IF(INDEX(AM_Cat,MATCH($C14,AM_Type,0))="SLABONLY","SLAB",IF($K14="","",IF($K14="STCG",IF(INDEX(AM_Cat,MATCH($C14,AM_Type,0))="EQ","EQ-ST","SLAB"),IF(INDEX(AM_Cat,MATCH($C14,AM_Type,0))="EQ","EQ-LT",IF(INDEX(AM_Cat,MATCH($C14,AM_Type,0))="PROP","PROP-LT","FLAT-LT"))))))</f>
        <v/>
      </c>
      <c r="Q14" s="74">
        <f>IF($C14="","",IF($P14="","",IF($P14="EQ-LT","pooled",IF($P14="EQ-ST",MAX(0,0.2*$O14),IF($P14="PROP-LT",IF($M14="",MAX(0,0.125*$O14),MAX(0,MIN(0.125*$O14,0.2*($L14-$M14)))),IF($P14="FLAT-LT",MAX(0,0.125*$O14),IF($P14="SLAB",MAX(0,Slab_Rate*$O14),"")))))))</f>
        <v/>
      </c>
    </row>
    <row r="15" ht="15" customHeight="1" s="37">
      <c r="A15" s="67">
        <f>IF($C15="","",ROW()-8)</f>
        <v/>
      </c>
      <c r="B15" s="75" t="n"/>
      <c r="C15" s="75" t="n"/>
      <c r="D15" s="76" t="n"/>
      <c r="E15" s="76" t="n"/>
      <c r="F15" s="77" t="n"/>
      <c r="G15" s="77" t="n"/>
      <c r="H15" s="77" t="n"/>
      <c r="I15" s="77" t="n"/>
      <c r="J15" s="67">
        <f>IF(OR($C15="",NOT(ISNUMBER($D15)),NOT(ISNUMBER($E15))),"",DATEDIF($D15,$E15,"m"))</f>
        <v/>
      </c>
      <c r="K15" s="67">
        <f>IF(OR($C15="",NOT(ISNUMBER($D15)),NOT(ISNUMBER($E15))),"",IF($E15&gt;EDATE($D15,INDEX(AM_LTm,MATCH($C15,AM_Type,0))),"LTCG","STCG"))</f>
        <v/>
      </c>
      <c r="L15" s="71">
        <f>IF($C15="","",$G15-$H15)</f>
        <v/>
      </c>
      <c r="M15" s="71">
        <f>IF(OR($C15="",NOT(ISNUMBER($D15)),NOT(ISNUMBER($E15))),"",IF(AND(INDEX(AM_Index,MATCH($C15,AM_Type,0))=1,$K15="LTCG",$D15&lt;DATE(2024,7,23),Resident="Yes"),$F15*INDEX(CII_Val,MATCH(IF(MONTH($E15)&gt;=4,YEAR($E15),YEAR($E15)-1),CII_Year,0))/INDEX(CII_Val,MATCH(MAX(2001,IF(MONTH($D15)&gt;=4,YEAR($D15),YEAR($D15)-1)),CII_Year,0)),""))</f>
        <v/>
      </c>
      <c r="N15" s="71">
        <f>IF($C15="","",IF(AND(INDEX(AM_Grand,MATCH($C15,AM_Type,0))=1,$K15="LTCG",ISNUMBER($D15),$D15&lt;DATE(2018,2,1),$I15&lt;&gt;""),MAX($F15,MIN($I15,$G15)),$F15))</f>
        <v/>
      </c>
      <c r="O15" s="71">
        <f>IF($C15="","",$L15-$N15)</f>
        <v/>
      </c>
      <c r="P15" s="67">
        <f>IF($C15="","",IF(INDEX(AM_Cat,MATCH($C15,AM_Type,0))="SLABONLY","SLAB",IF($K15="","",IF($K15="STCG",IF(INDEX(AM_Cat,MATCH($C15,AM_Type,0))="EQ","EQ-ST","SLAB"),IF(INDEX(AM_Cat,MATCH($C15,AM_Type,0))="EQ","EQ-LT",IF(INDEX(AM_Cat,MATCH($C15,AM_Type,0))="PROP","PROP-LT","FLAT-LT"))))))</f>
        <v/>
      </c>
      <c r="Q15" s="71">
        <f>IF($C15="","",IF($P15="","",IF($P15="EQ-LT","pooled",IF($P15="EQ-ST",MAX(0,0.2*$O15),IF($P15="PROP-LT",IF($M15="",MAX(0,0.125*$O15),MAX(0,MIN(0.125*$O15,0.2*($L15-$M15)))),IF($P15="FLAT-LT",MAX(0,0.125*$O15),IF($P15="SLAB",MAX(0,Slab_Rate*$O15),"")))))))</f>
        <v/>
      </c>
    </row>
    <row r="16" ht="15" customHeight="1" s="37">
      <c r="A16" s="72">
        <f>IF($C16="","",ROW()-8)</f>
        <v/>
      </c>
      <c r="B16" s="75" t="n"/>
      <c r="C16" s="75" t="n"/>
      <c r="D16" s="76" t="n"/>
      <c r="E16" s="76" t="n"/>
      <c r="F16" s="77" t="n"/>
      <c r="G16" s="77" t="n"/>
      <c r="H16" s="77" t="n"/>
      <c r="I16" s="77" t="n"/>
      <c r="J16" s="72">
        <f>IF(OR($C16="",NOT(ISNUMBER($D16)),NOT(ISNUMBER($E16))),"",DATEDIF($D16,$E16,"m"))</f>
        <v/>
      </c>
      <c r="K16" s="72">
        <f>IF(OR($C16="",NOT(ISNUMBER($D16)),NOT(ISNUMBER($E16))),"",IF($E16&gt;EDATE($D16,INDEX(AM_LTm,MATCH($C16,AM_Type,0))),"LTCG","STCG"))</f>
        <v/>
      </c>
      <c r="L16" s="74">
        <f>IF($C16="","",$G16-$H16)</f>
        <v/>
      </c>
      <c r="M16" s="74">
        <f>IF(OR($C16="",NOT(ISNUMBER($D16)),NOT(ISNUMBER($E16))),"",IF(AND(INDEX(AM_Index,MATCH($C16,AM_Type,0))=1,$K16="LTCG",$D16&lt;DATE(2024,7,23),Resident="Yes"),$F16*INDEX(CII_Val,MATCH(IF(MONTH($E16)&gt;=4,YEAR($E16),YEAR($E16)-1),CII_Year,0))/INDEX(CII_Val,MATCH(MAX(2001,IF(MONTH($D16)&gt;=4,YEAR($D16),YEAR($D16)-1)),CII_Year,0)),""))</f>
        <v/>
      </c>
      <c r="N16" s="74">
        <f>IF($C16="","",IF(AND(INDEX(AM_Grand,MATCH($C16,AM_Type,0))=1,$K16="LTCG",ISNUMBER($D16),$D16&lt;DATE(2018,2,1),$I16&lt;&gt;""),MAX($F16,MIN($I16,$G16)),$F16))</f>
        <v/>
      </c>
      <c r="O16" s="74">
        <f>IF($C16="","",$L16-$N16)</f>
        <v/>
      </c>
      <c r="P16" s="72">
        <f>IF($C16="","",IF(INDEX(AM_Cat,MATCH($C16,AM_Type,0))="SLABONLY","SLAB",IF($K16="","",IF($K16="STCG",IF(INDEX(AM_Cat,MATCH($C16,AM_Type,0))="EQ","EQ-ST","SLAB"),IF(INDEX(AM_Cat,MATCH($C16,AM_Type,0))="EQ","EQ-LT",IF(INDEX(AM_Cat,MATCH($C16,AM_Type,0))="PROP","PROP-LT","FLAT-LT"))))))</f>
        <v/>
      </c>
      <c r="Q16" s="74">
        <f>IF($C16="","",IF($P16="","",IF($P16="EQ-LT","pooled",IF($P16="EQ-ST",MAX(0,0.2*$O16),IF($P16="PROP-LT",IF($M16="",MAX(0,0.125*$O16),MAX(0,MIN(0.125*$O16,0.2*($L16-$M16)))),IF($P16="FLAT-LT",MAX(0,0.125*$O16),IF($P16="SLAB",MAX(0,Slab_Rate*$O16),"")))))))</f>
        <v/>
      </c>
    </row>
    <row r="17" ht="15" customHeight="1" s="37">
      <c r="A17" s="67">
        <f>IF($C17="","",ROW()-8)</f>
        <v/>
      </c>
      <c r="B17" s="75" t="n"/>
      <c r="C17" s="75" t="n"/>
      <c r="D17" s="76" t="n"/>
      <c r="E17" s="76" t="n"/>
      <c r="F17" s="77" t="n"/>
      <c r="G17" s="77" t="n"/>
      <c r="H17" s="77" t="n"/>
      <c r="I17" s="77" t="n"/>
      <c r="J17" s="67">
        <f>IF(OR($C17="",NOT(ISNUMBER($D17)),NOT(ISNUMBER($E17))),"",DATEDIF($D17,$E17,"m"))</f>
        <v/>
      </c>
      <c r="K17" s="67">
        <f>IF(OR($C17="",NOT(ISNUMBER($D17)),NOT(ISNUMBER($E17))),"",IF($E17&gt;EDATE($D17,INDEX(AM_LTm,MATCH($C17,AM_Type,0))),"LTCG","STCG"))</f>
        <v/>
      </c>
      <c r="L17" s="71">
        <f>IF($C17="","",$G17-$H17)</f>
        <v/>
      </c>
      <c r="M17" s="71">
        <f>IF(OR($C17="",NOT(ISNUMBER($D17)),NOT(ISNUMBER($E17))),"",IF(AND(INDEX(AM_Index,MATCH($C17,AM_Type,0))=1,$K17="LTCG",$D17&lt;DATE(2024,7,23),Resident="Yes"),$F17*INDEX(CII_Val,MATCH(IF(MONTH($E17)&gt;=4,YEAR($E17),YEAR($E17)-1),CII_Year,0))/INDEX(CII_Val,MATCH(MAX(2001,IF(MONTH($D17)&gt;=4,YEAR($D17),YEAR($D17)-1)),CII_Year,0)),""))</f>
        <v/>
      </c>
      <c r="N17" s="71">
        <f>IF($C17="","",IF(AND(INDEX(AM_Grand,MATCH($C17,AM_Type,0))=1,$K17="LTCG",ISNUMBER($D17),$D17&lt;DATE(2018,2,1),$I17&lt;&gt;""),MAX($F17,MIN($I17,$G17)),$F17))</f>
        <v/>
      </c>
      <c r="O17" s="71">
        <f>IF($C17="","",$L17-$N17)</f>
        <v/>
      </c>
      <c r="P17" s="67">
        <f>IF($C17="","",IF(INDEX(AM_Cat,MATCH($C17,AM_Type,0))="SLABONLY","SLAB",IF($K17="","",IF($K17="STCG",IF(INDEX(AM_Cat,MATCH($C17,AM_Type,0))="EQ","EQ-ST","SLAB"),IF(INDEX(AM_Cat,MATCH($C17,AM_Type,0))="EQ","EQ-LT",IF(INDEX(AM_Cat,MATCH($C17,AM_Type,0))="PROP","PROP-LT","FLAT-LT"))))))</f>
        <v/>
      </c>
      <c r="Q17" s="71">
        <f>IF($C17="","",IF($P17="","",IF($P17="EQ-LT","pooled",IF($P17="EQ-ST",MAX(0,0.2*$O17),IF($P17="PROP-LT",IF($M17="",MAX(0,0.125*$O17),MAX(0,MIN(0.125*$O17,0.2*($L17-$M17)))),IF($P17="FLAT-LT",MAX(0,0.125*$O17),IF($P17="SLAB",MAX(0,Slab_Rate*$O17),"")))))))</f>
        <v/>
      </c>
    </row>
    <row r="18" ht="15" customHeight="1" s="37">
      <c r="A18" s="72">
        <f>IF($C18="","",ROW()-8)</f>
        <v/>
      </c>
      <c r="B18" s="75" t="n"/>
      <c r="C18" s="75" t="n"/>
      <c r="D18" s="76" t="n"/>
      <c r="E18" s="76" t="n"/>
      <c r="F18" s="77" t="n"/>
      <c r="G18" s="77" t="n"/>
      <c r="H18" s="77" t="n"/>
      <c r="I18" s="77" t="n"/>
      <c r="J18" s="72">
        <f>IF(OR($C18="",NOT(ISNUMBER($D18)),NOT(ISNUMBER($E18))),"",DATEDIF($D18,$E18,"m"))</f>
        <v/>
      </c>
      <c r="K18" s="72">
        <f>IF(OR($C18="",NOT(ISNUMBER($D18)),NOT(ISNUMBER($E18))),"",IF($E18&gt;EDATE($D18,INDEX(AM_LTm,MATCH($C18,AM_Type,0))),"LTCG","STCG"))</f>
        <v/>
      </c>
      <c r="L18" s="74">
        <f>IF($C18="","",$G18-$H18)</f>
        <v/>
      </c>
      <c r="M18" s="74">
        <f>IF(OR($C18="",NOT(ISNUMBER($D18)),NOT(ISNUMBER($E18))),"",IF(AND(INDEX(AM_Index,MATCH($C18,AM_Type,0))=1,$K18="LTCG",$D18&lt;DATE(2024,7,23),Resident="Yes"),$F18*INDEX(CII_Val,MATCH(IF(MONTH($E18)&gt;=4,YEAR($E18),YEAR($E18)-1),CII_Year,0))/INDEX(CII_Val,MATCH(MAX(2001,IF(MONTH($D18)&gt;=4,YEAR($D18),YEAR($D18)-1)),CII_Year,0)),""))</f>
        <v/>
      </c>
      <c r="N18" s="74">
        <f>IF($C18="","",IF(AND(INDEX(AM_Grand,MATCH($C18,AM_Type,0))=1,$K18="LTCG",ISNUMBER($D18),$D18&lt;DATE(2018,2,1),$I18&lt;&gt;""),MAX($F18,MIN($I18,$G18)),$F18))</f>
        <v/>
      </c>
      <c r="O18" s="74">
        <f>IF($C18="","",$L18-$N18)</f>
        <v/>
      </c>
      <c r="P18" s="72">
        <f>IF($C18="","",IF(INDEX(AM_Cat,MATCH($C18,AM_Type,0))="SLABONLY","SLAB",IF($K18="","",IF($K18="STCG",IF(INDEX(AM_Cat,MATCH($C18,AM_Type,0))="EQ","EQ-ST","SLAB"),IF(INDEX(AM_Cat,MATCH($C18,AM_Type,0))="EQ","EQ-LT",IF(INDEX(AM_Cat,MATCH($C18,AM_Type,0))="PROP","PROP-LT","FLAT-LT"))))))</f>
        <v/>
      </c>
      <c r="Q18" s="74">
        <f>IF($C18="","",IF($P18="","",IF($P18="EQ-LT","pooled",IF($P18="EQ-ST",MAX(0,0.2*$O18),IF($P18="PROP-LT",IF($M18="",MAX(0,0.125*$O18),MAX(0,MIN(0.125*$O18,0.2*($L18-$M18)))),IF($P18="FLAT-LT",MAX(0,0.125*$O18),IF($P18="SLAB",MAX(0,Slab_Rate*$O18),"")))))))</f>
        <v/>
      </c>
    </row>
    <row r="19" ht="15" customHeight="1" s="37">
      <c r="A19" s="67">
        <f>IF($C19="","",ROW()-8)</f>
        <v/>
      </c>
      <c r="B19" s="75" t="n"/>
      <c r="C19" s="75" t="n"/>
      <c r="D19" s="76" t="n"/>
      <c r="E19" s="76" t="n"/>
      <c r="F19" s="77" t="n"/>
      <c r="G19" s="77" t="n"/>
      <c r="H19" s="77" t="n"/>
      <c r="I19" s="77" t="n"/>
      <c r="J19" s="67">
        <f>IF(OR($C19="",NOT(ISNUMBER($D19)),NOT(ISNUMBER($E19))),"",DATEDIF($D19,$E19,"m"))</f>
        <v/>
      </c>
      <c r="K19" s="67">
        <f>IF(OR($C19="",NOT(ISNUMBER($D19)),NOT(ISNUMBER($E19))),"",IF($E19&gt;EDATE($D19,INDEX(AM_LTm,MATCH($C19,AM_Type,0))),"LTCG","STCG"))</f>
        <v/>
      </c>
      <c r="L19" s="71">
        <f>IF($C19="","",$G19-$H19)</f>
        <v/>
      </c>
      <c r="M19" s="71">
        <f>IF(OR($C19="",NOT(ISNUMBER($D19)),NOT(ISNUMBER($E19))),"",IF(AND(INDEX(AM_Index,MATCH($C19,AM_Type,0))=1,$K19="LTCG",$D19&lt;DATE(2024,7,23),Resident="Yes"),$F19*INDEX(CII_Val,MATCH(IF(MONTH($E19)&gt;=4,YEAR($E19),YEAR($E19)-1),CII_Year,0))/INDEX(CII_Val,MATCH(MAX(2001,IF(MONTH($D19)&gt;=4,YEAR($D19),YEAR($D19)-1)),CII_Year,0)),""))</f>
        <v/>
      </c>
      <c r="N19" s="71">
        <f>IF($C19="","",IF(AND(INDEX(AM_Grand,MATCH($C19,AM_Type,0))=1,$K19="LTCG",ISNUMBER($D19),$D19&lt;DATE(2018,2,1),$I19&lt;&gt;""),MAX($F19,MIN($I19,$G19)),$F19))</f>
        <v/>
      </c>
      <c r="O19" s="71">
        <f>IF($C19="","",$L19-$N19)</f>
        <v/>
      </c>
      <c r="P19" s="67">
        <f>IF($C19="","",IF(INDEX(AM_Cat,MATCH($C19,AM_Type,0))="SLABONLY","SLAB",IF($K19="","",IF($K19="STCG",IF(INDEX(AM_Cat,MATCH($C19,AM_Type,0))="EQ","EQ-ST","SLAB"),IF(INDEX(AM_Cat,MATCH($C19,AM_Type,0))="EQ","EQ-LT",IF(INDEX(AM_Cat,MATCH($C19,AM_Type,0))="PROP","PROP-LT","FLAT-LT"))))))</f>
        <v/>
      </c>
      <c r="Q19" s="71">
        <f>IF($C19="","",IF($P19="","",IF($P19="EQ-LT","pooled",IF($P19="EQ-ST",MAX(0,0.2*$O19),IF($P19="PROP-LT",IF($M19="",MAX(0,0.125*$O19),MAX(0,MIN(0.125*$O19,0.2*($L19-$M19)))),IF($P19="FLAT-LT",MAX(0,0.125*$O19),IF($P19="SLAB",MAX(0,Slab_Rate*$O19),"")))))))</f>
        <v/>
      </c>
    </row>
    <row r="20" ht="15" customHeight="1" s="37">
      <c r="A20" s="72">
        <f>IF($C20="","",ROW()-8)</f>
        <v/>
      </c>
      <c r="B20" s="75" t="n"/>
      <c r="C20" s="75" t="n"/>
      <c r="D20" s="76" t="n"/>
      <c r="E20" s="76" t="n"/>
      <c r="F20" s="77" t="n"/>
      <c r="G20" s="77" t="n"/>
      <c r="H20" s="77" t="n"/>
      <c r="I20" s="77" t="n"/>
      <c r="J20" s="72">
        <f>IF(OR($C20="",NOT(ISNUMBER($D20)),NOT(ISNUMBER($E20))),"",DATEDIF($D20,$E20,"m"))</f>
        <v/>
      </c>
      <c r="K20" s="72">
        <f>IF(OR($C20="",NOT(ISNUMBER($D20)),NOT(ISNUMBER($E20))),"",IF($E20&gt;EDATE($D20,INDEX(AM_LTm,MATCH($C20,AM_Type,0))),"LTCG","STCG"))</f>
        <v/>
      </c>
      <c r="L20" s="74">
        <f>IF($C20="","",$G20-$H20)</f>
        <v/>
      </c>
      <c r="M20" s="74">
        <f>IF(OR($C20="",NOT(ISNUMBER($D20)),NOT(ISNUMBER($E20))),"",IF(AND(INDEX(AM_Index,MATCH($C20,AM_Type,0))=1,$K20="LTCG",$D20&lt;DATE(2024,7,23),Resident="Yes"),$F20*INDEX(CII_Val,MATCH(IF(MONTH($E20)&gt;=4,YEAR($E20),YEAR($E20)-1),CII_Year,0))/INDEX(CII_Val,MATCH(MAX(2001,IF(MONTH($D20)&gt;=4,YEAR($D20),YEAR($D20)-1)),CII_Year,0)),""))</f>
        <v/>
      </c>
      <c r="N20" s="74">
        <f>IF($C20="","",IF(AND(INDEX(AM_Grand,MATCH($C20,AM_Type,0))=1,$K20="LTCG",ISNUMBER($D20),$D20&lt;DATE(2018,2,1),$I20&lt;&gt;""),MAX($F20,MIN($I20,$G20)),$F20))</f>
        <v/>
      </c>
      <c r="O20" s="74">
        <f>IF($C20="","",$L20-$N20)</f>
        <v/>
      </c>
      <c r="P20" s="72">
        <f>IF($C20="","",IF(INDEX(AM_Cat,MATCH($C20,AM_Type,0))="SLABONLY","SLAB",IF($K20="","",IF($K20="STCG",IF(INDEX(AM_Cat,MATCH($C20,AM_Type,0))="EQ","EQ-ST","SLAB"),IF(INDEX(AM_Cat,MATCH($C20,AM_Type,0))="EQ","EQ-LT",IF(INDEX(AM_Cat,MATCH($C20,AM_Type,0))="PROP","PROP-LT","FLAT-LT"))))))</f>
        <v/>
      </c>
      <c r="Q20" s="74">
        <f>IF($C20="","",IF($P20="","",IF($P20="EQ-LT","pooled",IF($P20="EQ-ST",MAX(0,0.2*$O20),IF($P20="PROP-LT",IF($M20="",MAX(0,0.125*$O20),MAX(0,MIN(0.125*$O20,0.2*($L20-$M20)))),IF($P20="FLAT-LT",MAX(0,0.125*$O20),IF($P20="SLAB",MAX(0,Slab_Rate*$O20),"")))))))</f>
        <v/>
      </c>
    </row>
    <row r="21" ht="15" customHeight="1" s="37">
      <c r="A21" s="67">
        <f>IF($C21="","",ROW()-8)</f>
        <v/>
      </c>
      <c r="B21" s="75" t="n"/>
      <c r="C21" s="75" t="n"/>
      <c r="D21" s="76" t="n"/>
      <c r="E21" s="76" t="n"/>
      <c r="F21" s="77" t="n"/>
      <c r="G21" s="77" t="n"/>
      <c r="H21" s="77" t="n"/>
      <c r="I21" s="77" t="n"/>
      <c r="J21" s="67">
        <f>IF(OR($C21="",NOT(ISNUMBER($D21)),NOT(ISNUMBER($E21))),"",DATEDIF($D21,$E21,"m"))</f>
        <v/>
      </c>
      <c r="K21" s="67">
        <f>IF(OR($C21="",NOT(ISNUMBER($D21)),NOT(ISNUMBER($E21))),"",IF($E21&gt;EDATE($D21,INDEX(AM_LTm,MATCH($C21,AM_Type,0))),"LTCG","STCG"))</f>
        <v/>
      </c>
      <c r="L21" s="71">
        <f>IF($C21="","",$G21-$H21)</f>
        <v/>
      </c>
      <c r="M21" s="71">
        <f>IF(OR($C21="",NOT(ISNUMBER($D21)),NOT(ISNUMBER($E21))),"",IF(AND(INDEX(AM_Index,MATCH($C21,AM_Type,0))=1,$K21="LTCG",$D21&lt;DATE(2024,7,23),Resident="Yes"),$F21*INDEX(CII_Val,MATCH(IF(MONTH($E21)&gt;=4,YEAR($E21),YEAR($E21)-1),CII_Year,0))/INDEX(CII_Val,MATCH(MAX(2001,IF(MONTH($D21)&gt;=4,YEAR($D21),YEAR($D21)-1)),CII_Year,0)),""))</f>
        <v/>
      </c>
      <c r="N21" s="71">
        <f>IF($C21="","",IF(AND(INDEX(AM_Grand,MATCH($C21,AM_Type,0))=1,$K21="LTCG",ISNUMBER($D21),$D21&lt;DATE(2018,2,1),$I21&lt;&gt;""),MAX($F21,MIN($I21,$G21)),$F21))</f>
        <v/>
      </c>
      <c r="O21" s="71">
        <f>IF($C21="","",$L21-$N21)</f>
        <v/>
      </c>
      <c r="P21" s="67">
        <f>IF($C21="","",IF(INDEX(AM_Cat,MATCH($C21,AM_Type,0))="SLABONLY","SLAB",IF($K21="","",IF($K21="STCG",IF(INDEX(AM_Cat,MATCH($C21,AM_Type,0))="EQ","EQ-ST","SLAB"),IF(INDEX(AM_Cat,MATCH($C21,AM_Type,0))="EQ","EQ-LT",IF(INDEX(AM_Cat,MATCH($C21,AM_Type,0))="PROP","PROP-LT","FLAT-LT"))))))</f>
        <v/>
      </c>
      <c r="Q21" s="71">
        <f>IF($C21="","",IF($P21="","",IF($P21="EQ-LT","pooled",IF($P21="EQ-ST",MAX(0,0.2*$O21),IF($P21="PROP-LT",IF($M21="",MAX(0,0.125*$O21),MAX(0,MIN(0.125*$O21,0.2*($L21-$M21)))),IF($P21="FLAT-LT",MAX(0,0.125*$O21),IF($P21="SLAB",MAX(0,Slab_Rate*$O21),"")))))))</f>
        <v/>
      </c>
    </row>
    <row r="22" ht="15" customHeight="1" s="37">
      <c r="A22" s="72">
        <f>IF($C22="","",ROW()-8)</f>
        <v/>
      </c>
      <c r="B22" s="75" t="n"/>
      <c r="C22" s="75" t="n"/>
      <c r="D22" s="76" t="n"/>
      <c r="E22" s="76" t="n"/>
      <c r="F22" s="77" t="n"/>
      <c r="G22" s="77" t="n"/>
      <c r="H22" s="77" t="n"/>
      <c r="I22" s="77" t="n"/>
      <c r="J22" s="72">
        <f>IF(OR($C22="",NOT(ISNUMBER($D22)),NOT(ISNUMBER($E22))),"",DATEDIF($D22,$E22,"m"))</f>
        <v/>
      </c>
      <c r="K22" s="72">
        <f>IF(OR($C22="",NOT(ISNUMBER($D22)),NOT(ISNUMBER($E22))),"",IF($E22&gt;EDATE($D22,INDEX(AM_LTm,MATCH($C22,AM_Type,0))),"LTCG","STCG"))</f>
        <v/>
      </c>
      <c r="L22" s="74">
        <f>IF($C22="","",$G22-$H22)</f>
        <v/>
      </c>
      <c r="M22" s="74">
        <f>IF(OR($C22="",NOT(ISNUMBER($D22)),NOT(ISNUMBER($E22))),"",IF(AND(INDEX(AM_Index,MATCH($C22,AM_Type,0))=1,$K22="LTCG",$D22&lt;DATE(2024,7,23),Resident="Yes"),$F22*INDEX(CII_Val,MATCH(IF(MONTH($E22)&gt;=4,YEAR($E22),YEAR($E22)-1),CII_Year,0))/INDEX(CII_Val,MATCH(MAX(2001,IF(MONTH($D22)&gt;=4,YEAR($D22),YEAR($D22)-1)),CII_Year,0)),""))</f>
        <v/>
      </c>
      <c r="N22" s="74">
        <f>IF($C22="","",IF(AND(INDEX(AM_Grand,MATCH($C22,AM_Type,0))=1,$K22="LTCG",ISNUMBER($D22),$D22&lt;DATE(2018,2,1),$I22&lt;&gt;""),MAX($F22,MIN($I22,$G22)),$F22))</f>
        <v/>
      </c>
      <c r="O22" s="74">
        <f>IF($C22="","",$L22-$N22)</f>
        <v/>
      </c>
      <c r="P22" s="72">
        <f>IF($C22="","",IF(INDEX(AM_Cat,MATCH($C22,AM_Type,0))="SLABONLY","SLAB",IF($K22="","",IF($K22="STCG",IF(INDEX(AM_Cat,MATCH($C22,AM_Type,0))="EQ","EQ-ST","SLAB"),IF(INDEX(AM_Cat,MATCH($C22,AM_Type,0))="EQ","EQ-LT",IF(INDEX(AM_Cat,MATCH($C22,AM_Type,0))="PROP","PROP-LT","FLAT-LT"))))))</f>
        <v/>
      </c>
      <c r="Q22" s="74">
        <f>IF($C22="","",IF($P22="","",IF($P22="EQ-LT","pooled",IF($P22="EQ-ST",MAX(0,0.2*$O22),IF($P22="PROP-LT",IF($M22="",MAX(0,0.125*$O22),MAX(0,MIN(0.125*$O22,0.2*($L22-$M22)))),IF($P22="FLAT-LT",MAX(0,0.125*$O22),IF($P22="SLAB",MAX(0,Slab_Rate*$O22),"")))))))</f>
        <v/>
      </c>
    </row>
    <row r="23" ht="15" customHeight="1" s="37">
      <c r="A23" s="67">
        <f>IF($C23="","",ROW()-8)</f>
        <v/>
      </c>
      <c r="B23" s="75" t="n"/>
      <c r="C23" s="75" t="n"/>
      <c r="D23" s="76" t="n"/>
      <c r="E23" s="76" t="n"/>
      <c r="F23" s="77" t="n"/>
      <c r="G23" s="77" t="n"/>
      <c r="H23" s="77" t="n"/>
      <c r="I23" s="77" t="n"/>
      <c r="J23" s="67">
        <f>IF(OR($C23="",NOT(ISNUMBER($D23)),NOT(ISNUMBER($E23))),"",DATEDIF($D23,$E23,"m"))</f>
        <v/>
      </c>
      <c r="K23" s="67">
        <f>IF(OR($C23="",NOT(ISNUMBER($D23)),NOT(ISNUMBER($E23))),"",IF($E23&gt;EDATE($D23,INDEX(AM_LTm,MATCH($C23,AM_Type,0))),"LTCG","STCG"))</f>
        <v/>
      </c>
      <c r="L23" s="71">
        <f>IF($C23="","",$G23-$H23)</f>
        <v/>
      </c>
      <c r="M23" s="71">
        <f>IF(OR($C23="",NOT(ISNUMBER($D23)),NOT(ISNUMBER($E23))),"",IF(AND(INDEX(AM_Index,MATCH($C23,AM_Type,0))=1,$K23="LTCG",$D23&lt;DATE(2024,7,23),Resident="Yes"),$F23*INDEX(CII_Val,MATCH(IF(MONTH($E23)&gt;=4,YEAR($E23),YEAR($E23)-1),CII_Year,0))/INDEX(CII_Val,MATCH(MAX(2001,IF(MONTH($D23)&gt;=4,YEAR($D23),YEAR($D23)-1)),CII_Year,0)),""))</f>
        <v/>
      </c>
      <c r="N23" s="71">
        <f>IF($C23="","",IF(AND(INDEX(AM_Grand,MATCH($C23,AM_Type,0))=1,$K23="LTCG",ISNUMBER($D23),$D23&lt;DATE(2018,2,1),$I23&lt;&gt;""),MAX($F23,MIN($I23,$G23)),$F23))</f>
        <v/>
      </c>
      <c r="O23" s="71">
        <f>IF($C23="","",$L23-$N23)</f>
        <v/>
      </c>
      <c r="P23" s="67">
        <f>IF($C23="","",IF(INDEX(AM_Cat,MATCH($C23,AM_Type,0))="SLABONLY","SLAB",IF($K23="","",IF($K23="STCG",IF(INDEX(AM_Cat,MATCH($C23,AM_Type,0))="EQ","EQ-ST","SLAB"),IF(INDEX(AM_Cat,MATCH($C23,AM_Type,0))="EQ","EQ-LT",IF(INDEX(AM_Cat,MATCH($C23,AM_Type,0))="PROP","PROP-LT","FLAT-LT"))))))</f>
        <v/>
      </c>
      <c r="Q23" s="71">
        <f>IF($C23="","",IF($P23="","",IF($P23="EQ-LT","pooled",IF($P23="EQ-ST",MAX(0,0.2*$O23),IF($P23="PROP-LT",IF($M23="",MAX(0,0.125*$O23),MAX(0,MIN(0.125*$O23,0.2*($L23-$M23)))),IF($P23="FLAT-LT",MAX(0,0.125*$O23),IF($P23="SLAB",MAX(0,Slab_Rate*$O23),"")))))))</f>
        <v/>
      </c>
    </row>
    <row r="24" ht="15" customHeight="1" s="37">
      <c r="A24" s="72">
        <f>IF($C24="","",ROW()-8)</f>
        <v/>
      </c>
      <c r="B24" s="75" t="n"/>
      <c r="C24" s="75" t="n"/>
      <c r="D24" s="76" t="n"/>
      <c r="E24" s="76" t="n"/>
      <c r="F24" s="77" t="n"/>
      <c r="G24" s="77" t="n"/>
      <c r="H24" s="77" t="n"/>
      <c r="I24" s="77" t="n"/>
      <c r="J24" s="72">
        <f>IF(OR($C24="",NOT(ISNUMBER($D24)),NOT(ISNUMBER($E24))),"",DATEDIF($D24,$E24,"m"))</f>
        <v/>
      </c>
      <c r="K24" s="72">
        <f>IF(OR($C24="",NOT(ISNUMBER($D24)),NOT(ISNUMBER($E24))),"",IF($E24&gt;EDATE($D24,INDEX(AM_LTm,MATCH($C24,AM_Type,0))),"LTCG","STCG"))</f>
        <v/>
      </c>
      <c r="L24" s="74">
        <f>IF($C24="","",$G24-$H24)</f>
        <v/>
      </c>
      <c r="M24" s="74">
        <f>IF(OR($C24="",NOT(ISNUMBER($D24)),NOT(ISNUMBER($E24))),"",IF(AND(INDEX(AM_Index,MATCH($C24,AM_Type,0))=1,$K24="LTCG",$D24&lt;DATE(2024,7,23),Resident="Yes"),$F24*INDEX(CII_Val,MATCH(IF(MONTH($E24)&gt;=4,YEAR($E24),YEAR($E24)-1),CII_Year,0))/INDEX(CII_Val,MATCH(MAX(2001,IF(MONTH($D24)&gt;=4,YEAR($D24),YEAR($D24)-1)),CII_Year,0)),""))</f>
        <v/>
      </c>
      <c r="N24" s="74">
        <f>IF($C24="","",IF(AND(INDEX(AM_Grand,MATCH($C24,AM_Type,0))=1,$K24="LTCG",ISNUMBER($D24),$D24&lt;DATE(2018,2,1),$I24&lt;&gt;""),MAX($F24,MIN($I24,$G24)),$F24))</f>
        <v/>
      </c>
      <c r="O24" s="74">
        <f>IF($C24="","",$L24-$N24)</f>
        <v/>
      </c>
      <c r="P24" s="72">
        <f>IF($C24="","",IF(INDEX(AM_Cat,MATCH($C24,AM_Type,0))="SLABONLY","SLAB",IF($K24="","",IF($K24="STCG",IF(INDEX(AM_Cat,MATCH($C24,AM_Type,0))="EQ","EQ-ST","SLAB"),IF(INDEX(AM_Cat,MATCH($C24,AM_Type,0))="EQ","EQ-LT",IF(INDEX(AM_Cat,MATCH($C24,AM_Type,0))="PROP","PROP-LT","FLAT-LT"))))))</f>
        <v/>
      </c>
      <c r="Q24" s="74">
        <f>IF($C24="","",IF($P24="","",IF($P24="EQ-LT","pooled",IF($P24="EQ-ST",MAX(0,0.2*$O24),IF($P24="PROP-LT",IF($M24="",MAX(0,0.125*$O24),MAX(0,MIN(0.125*$O24,0.2*($L24-$M24)))),IF($P24="FLAT-LT",MAX(0,0.125*$O24),IF($P24="SLAB",MAX(0,Slab_Rate*$O24),"")))))))</f>
        <v/>
      </c>
    </row>
    <row r="25" ht="15" customHeight="1" s="37">
      <c r="A25" s="67">
        <f>IF($C25="","",ROW()-8)</f>
        <v/>
      </c>
      <c r="B25" s="75" t="n"/>
      <c r="C25" s="75" t="n"/>
      <c r="D25" s="76" t="n"/>
      <c r="E25" s="76" t="n"/>
      <c r="F25" s="77" t="n"/>
      <c r="G25" s="77" t="n"/>
      <c r="H25" s="77" t="n"/>
      <c r="I25" s="77" t="n"/>
      <c r="J25" s="67">
        <f>IF(OR($C25="",NOT(ISNUMBER($D25)),NOT(ISNUMBER($E25))),"",DATEDIF($D25,$E25,"m"))</f>
        <v/>
      </c>
      <c r="K25" s="67">
        <f>IF(OR($C25="",NOT(ISNUMBER($D25)),NOT(ISNUMBER($E25))),"",IF($E25&gt;EDATE($D25,INDEX(AM_LTm,MATCH($C25,AM_Type,0))),"LTCG","STCG"))</f>
        <v/>
      </c>
      <c r="L25" s="71">
        <f>IF($C25="","",$G25-$H25)</f>
        <v/>
      </c>
      <c r="M25" s="71">
        <f>IF(OR($C25="",NOT(ISNUMBER($D25)),NOT(ISNUMBER($E25))),"",IF(AND(INDEX(AM_Index,MATCH($C25,AM_Type,0))=1,$K25="LTCG",$D25&lt;DATE(2024,7,23),Resident="Yes"),$F25*INDEX(CII_Val,MATCH(IF(MONTH($E25)&gt;=4,YEAR($E25),YEAR($E25)-1),CII_Year,0))/INDEX(CII_Val,MATCH(MAX(2001,IF(MONTH($D25)&gt;=4,YEAR($D25),YEAR($D25)-1)),CII_Year,0)),""))</f>
        <v/>
      </c>
      <c r="N25" s="71">
        <f>IF($C25="","",IF(AND(INDEX(AM_Grand,MATCH($C25,AM_Type,0))=1,$K25="LTCG",ISNUMBER($D25),$D25&lt;DATE(2018,2,1),$I25&lt;&gt;""),MAX($F25,MIN($I25,$G25)),$F25))</f>
        <v/>
      </c>
      <c r="O25" s="71">
        <f>IF($C25="","",$L25-$N25)</f>
        <v/>
      </c>
      <c r="P25" s="67">
        <f>IF($C25="","",IF(INDEX(AM_Cat,MATCH($C25,AM_Type,0))="SLABONLY","SLAB",IF($K25="","",IF($K25="STCG",IF(INDEX(AM_Cat,MATCH($C25,AM_Type,0))="EQ","EQ-ST","SLAB"),IF(INDEX(AM_Cat,MATCH($C25,AM_Type,0))="EQ","EQ-LT",IF(INDEX(AM_Cat,MATCH($C25,AM_Type,0))="PROP","PROP-LT","FLAT-LT"))))))</f>
        <v/>
      </c>
      <c r="Q25" s="71">
        <f>IF($C25="","",IF($P25="","",IF($P25="EQ-LT","pooled",IF($P25="EQ-ST",MAX(0,0.2*$O25),IF($P25="PROP-LT",IF($M25="",MAX(0,0.125*$O25),MAX(0,MIN(0.125*$O25,0.2*($L25-$M25)))),IF($P25="FLAT-LT",MAX(0,0.125*$O25),IF($P25="SLAB",MAX(0,Slab_Rate*$O25),"")))))))</f>
        <v/>
      </c>
    </row>
    <row r="26" ht="15" customHeight="1" s="37">
      <c r="A26" s="72">
        <f>IF($C26="","",ROW()-8)</f>
        <v/>
      </c>
      <c r="B26" s="75" t="n"/>
      <c r="C26" s="75" t="n"/>
      <c r="D26" s="76" t="n"/>
      <c r="E26" s="76" t="n"/>
      <c r="F26" s="77" t="n"/>
      <c r="G26" s="77" t="n"/>
      <c r="H26" s="77" t="n"/>
      <c r="I26" s="77" t="n"/>
      <c r="J26" s="72">
        <f>IF(OR($C26="",NOT(ISNUMBER($D26)),NOT(ISNUMBER($E26))),"",DATEDIF($D26,$E26,"m"))</f>
        <v/>
      </c>
      <c r="K26" s="72">
        <f>IF(OR($C26="",NOT(ISNUMBER($D26)),NOT(ISNUMBER($E26))),"",IF($E26&gt;EDATE($D26,INDEX(AM_LTm,MATCH($C26,AM_Type,0))),"LTCG","STCG"))</f>
        <v/>
      </c>
      <c r="L26" s="74">
        <f>IF($C26="","",$G26-$H26)</f>
        <v/>
      </c>
      <c r="M26" s="74">
        <f>IF(OR($C26="",NOT(ISNUMBER($D26)),NOT(ISNUMBER($E26))),"",IF(AND(INDEX(AM_Index,MATCH($C26,AM_Type,0))=1,$K26="LTCG",$D26&lt;DATE(2024,7,23),Resident="Yes"),$F26*INDEX(CII_Val,MATCH(IF(MONTH($E26)&gt;=4,YEAR($E26),YEAR($E26)-1),CII_Year,0))/INDEX(CII_Val,MATCH(MAX(2001,IF(MONTH($D26)&gt;=4,YEAR($D26),YEAR($D26)-1)),CII_Year,0)),""))</f>
        <v/>
      </c>
      <c r="N26" s="74">
        <f>IF($C26="","",IF(AND(INDEX(AM_Grand,MATCH($C26,AM_Type,0))=1,$K26="LTCG",ISNUMBER($D26),$D26&lt;DATE(2018,2,1),$I26&lt;&gt;""),MAX($F26,MIN($I26,$G26)),$F26))</f>
        <v/>
      </c>
      <c r="O26" s="74">
        <f>IF($C26="","",$L26-$N26)</f>
        <v/>
      </c>
      <c r="P26" s="72">
        <f>IF($C26="","",IF(INDEX(AM_Cat,MATCH($C26,AM_Type,0))="SLABONLY","SLAB",IF($K26="","",IF($K26="STCG",IF(INDEX(AM_Cat,MATCH($C26,AM_Type,0))="EQ","EQ-ST","SLAB"),IF(INDEX(AM_Cat,MATCH($C26,AM_Type,0))="EQ","EQ-LT",IF(INDEX(AM_Cat,MATCH($C26,AM_Type,0))="PROP","PROP-LT","FLAT-LT"))))))</f>
        <v/>
      </c>
      <c r="Q26" s="74">
        <f>IF($C26="","",IF($P26="","",IF($P26="EQ-LT","pooled",IF($P26="EQ-ST",MAX(0,0.2*$O26),IF($P26="PROP-LT",IF($M26="",MAX(0,0.125*$O26),MAX(0,MIN(0.125*$O26,0.2*($L26-$M26)))),IF($P26="FLAT-LT",MAX(0,0.125*$O26),IF($P26="SLAB",MAX(0,Slab_Rate*$O26),"")))))))</f>
        <v/>
      </c>
    </row>
    <row r="27" ht="15" customHeight="1" s="37">
      <c r="A27" s="67">
        <f>IF($C27="","",ROW()-8)</f>
        <v/>
      </c>
      <c r="B27" s="75" t="n"/>
      <c r="C27" s="75" t="n"/>
      <c r="D27" s="76" t="n"/>
      <c r="E27" s="76" t="n"/>
      <c r="F27" s="77" t="n"/>
      <c r="G27" s="77" t="n"/>
      <c r="H27" s="77" t="n"/>
      <c r="I27" s="77" t="n"/>
      <c r="J27" s="67">
        <f>IF(OR($C27="",NOT(ISNUMBER($D27)),NOT(ISNUMBER($E27))),"",DATEDIF($D27,$E27,"m"))</f>
        <v/>
      </c>
      <c r="K27" s="67">
        <f>IF(OR($C27="",NOT(ISNUMBER($D27)),NOT(ISNUMBER($E27))),"",IF($E27&gt;EDATE($D27,INDEX(AM_LTm,MATCH($C27,AM_Type,0))),"LTCG","STCG"))</f>
        <v/>
      </c>
      <c r="L27" s="71">
        <f>IF($C27="","",$G27-$H27)</f>
        <v/>
      </c>
      <c r="M27" s="71">
        <f>IF(OR($C27="",NOT(ISNUMBER($D27)),NOT(ISNUMBER($E27))),"",IF(AND(INDEX(AM_Index,MATCH($C27,AM_Type,0))=1,$K27="LTCG",$D27&lt;DATE(2024,7,23),Resident="Yes"),$F27*INDEX(CII_Val,MATCH(IF(MONTH($E27)&gt;=4,YEAR($E27),YEAR($E27)-1),CII_Year,0))/INDEX(CII_Val,MATCH(MAX(2001,IF(MONTH($D27)&gt;=4,YEAR($D27),YEAR($D27)-1)),CII_Year,0)),""))</f>
        <v/>
      </c>
      <c r="N27" s="71">
        <f>IF($C27="","",IF(AND(INDEX(AM_Grand,MATCH($C27,AM_Type,0))=1,$K27="LTCG",ISNUMBER($D27),$D27&lt;DATE(2018,2,1),$I27&lt;&gt;""),MAX($F27,MIN($I27,$G27)),$F27))</f>
        <v/>
      </c>
      <c r="O27" s="71">
        <f>IF($C27="","",$L27-$N27)</f>
        <v/>
      </c>
      <c r="P27" s="67">
        <f>IF($C27="","",IF(INDEX(AM_Cat,MATCH($C27,AM_Type,0))="SLABONLY","SLAB",IF($K27="","",IF($K27="STCG",IF(INDEX(AM_Cat,MATCH($C27,AM_Type,0))="EQ","EQ-ST","SLAB"),IF(INDEX(AM_Cat,MATCH($C27,AM_Type,0))="EQ","EQ-LT",IF(INDEX(AM_Cat,MATCH($C27,AM_Type,0))="PROP","PROP-LT","FLAT-LT"))))))</f>
        <v/>
      </c>
      <c r="Q27" s="71">
        <f>IF($C27="","",IF($P27="","",IF($P27="EQ-LT","pooled",IF($P27="EQ-ST",MAX(0,0.2*$O27),IF($P27="PROP-LT",IF($M27="",MAX(0,0.125*$O27),MAX(0,MIN(0.125*$O27,0.2*($L27-$M27)))),IF($P27="FLAT-LT",MAX(0,0.125*$O27),IF($P27="SLAB",MAX(0,Slab_Rate*$O27),"")))))))</f>
        <v/>
      </c>
    </row>
    <row r="28" ht="15" customHeight="1" s="37">
      <c r="A28" s="72">
        <f>IF($C28="","",ROW()-8)</f>
        <v/>
      </c>
      <c r="B28" s="75" t="n"/>
      <c r="C28" s="75" t="n"/>
      <c r="D28" s="76" t="n"/>
      <c r="E28" s="76" t="n"/>
      <c r="F28" s="77" t="n"/>
      <c r="G28" s="77" t="n"/>
      <c r="H28" s="77" t="n"/>
      <c r="I28" s="77" t="n"/>
      <c r="J28" s="72">
        <f>IF(OR($C28="",NOT(ISNUMBER($D28)),NOT(ISNUMBER($E28))),"",DATEDIF($D28,$E28,"m"))</f>
        <v/>
      </c>
      <c r="K28" s="72">
        <f>IF(OR($C28="",NOT(ISNUMBER($D28)),NOT(ISNUMBER($E28))),"",IF($E28&gt;EDATE($D28,INDEX(AM_LTm,MATCH($C28,AM_Type,0))),"LTCG","STCG"))</f>
        <v/>
      </c>
      <c r="L28" s="74">
        <f>IF($C28="","",$G28-$H28)</f>
        <v/>
      </c>
      <c r="M28" s="74">
        <f>IF(OR($C28="",NOT(ISNUMBER($D28)),NOT(ISNUMBER($E28))),"",IF(AND(INDEX(AM_Index,MATCH($C28,AM_Type,0))=1,$K28="LTCG",$D28&lt;DATE(2024,7,23),Resident="Yes"),$F28*INDEX(CII_Val,MATCH(IF(MONTH($E28)&gt;=4,YEAR($E28),YEAR($E28)-1),CII_Year,0))/INDEX(CII_Val,MATCH(MAX(2001,IF(MONTH($D28)&gt;=4,YEAR($D28),YEAR($D28)-1)),CII_Year,0)),""))</f>
        <v/>
      </c>
      <c r="N28" s="74">
        <f>IF($C28="","",IF(AND(INDEX(AM_Grand,MATCH($C28,AM_Type,0))=1,$K28="LTCG",ISNUMBER($D28),$D28&lt;DATE(2018,2,1),$I28&lt;&gt;""),MAX($F28,MIN($I28,$G28)),$F28))</f>
        <v/>
      </c>
      <c r="O28" s="74">
        <f>IF($C28="","",$L28-$N28)</f>
        <v/>
      </c>
      <c r="P28" s="72">
        <f>IF($C28="","",IF(INDEX(AM_Cat,MATCH($C28,AM_Type,0))="SLABONLY","SLAB",IF($K28="","",IF($K28="STCG",IF(INDEX(AM_Cat,MATCH($C28,AM_Type,0))="EQ","EQ-ST","SLAB"),IF(INDEX(AM_Cat,MATCH($C28,AM_Type,0))="EQ","EQ-LT",IF(INDEX(AM_Cat,MATCH($C28,AM_Type,0))="PROP","PROP-LT","FLAT-LT"))))))</f>
        <v/>
      </c>
      <c r="Q28" s="74">
        <f>IF($C28="","",IF($P28="","",IF($P28="EQ-LT","pooled",IF($P28="EQ-ST",MAX(0,0.2*$O28),IF($P28="PROP-LT",IF($M28="",MAX(0,0.125*$O28),MAX(0,MIN(0.125*$O28,0.2*($L28-$M28)))),IF($P28="FLAT-LT",MAX(0,0.125*$O28),IF($P28="SLAB",MAX(0,Slab_Rate*$O28),"")))))))</f>
        <v/>
      </c>
    </row>
    <row r="29" ht="15" customHeight="1" s="37">
      <c r="A29" s="67">
        <f>IF($C29="","",ROW()-8)</f>
        <v/>
      </c>
      <c r="B29" s="75" t="n"/>
      <c r="C29" s="75" t="n"/>
      <c r="D29" s="76" t="n"/>
      <c r="E29" s="76" t="n"/>
      <c r="F29" s="77" t="n"/>
      <c r="G29" s="77" t="n"/>
      <c r="H29" s="77" t="n"/>
      <c r="I29" s="77" t="n"/>
      <c r="J29" s="67">
        <f>IF(OR($C29="",NOT(ISNUMBER($D29)),NOT(ISNUMBER($E29))),"",DATEDIF($D29,$E29,"m"))</f>
        <v/>
      </c>
      <c r="K29" s="67">
        <f>IF(OR($C29="",NOT(ISNUMBER($D29)),NOT(ISNUMBER($E29))),"",IF($E29&gt;EDATE($D29,INDEX(AM_LTm,MATCH($C29,AM_Type,0))),"LTCG","STCG"))</f>
        <v/>
      </c>
      <c r="L29" s="71">
        <f>IF($C29="","",$G29-$H29)</f>
        <v/>
      </c>
      <c r="M29" s="71">
        <f>IF(OR($C29="",NOT(ISNUMBER($D29)),NOT(ISNUMBER($E29))),"",IF(AND(INDEX(AM_Index,MATCH($C29,AM_Type,0))=1,$K29="LTCG",$D29&lt;DATE(2024,7,23),Resident="Yes"),$F29*INDEX(CII_Val,MATCH(IF(MONTH($E29)&gt;=4,YEAR($E29),YEAR($E29)-1),CII_Year,0))/INDEX(CII_Val,MATCH(MAX(2001,IF(MONTH($D29)&gt;=4,YEAR($D29),YEAR($D29)-1)),CII_Year,0)),""))</f>
        <v/>
      </c>
      <c r="N29" s="71">
        <f>IF($C29="","",IF(AND(INDEX(AM_Grand,MATCH($C29,AM_Type,0))=1,$K29="LTCG",ISNUMBER($D29),$D29&lt;DATE(2018,2,1),$I29&lt;&gt;""),MAX($F29,MIN($I29,$G29)),$F29))</f>
        <v/>
      </c>
      <c r="O29" s="71">
        <f>IF($C29="","",$L29-$N29)</f>
        <v/>
      </c>
      <c r="P29" s="67">
        <f>IF($C29="","",IF(INDEX(AM_Cat,MATCH($C29,AM_Type,0))="SLABONLY","SLAB",IF($K29="","",IF($K29="STCG",IF(INDEX(AM_Cat,MATCH($C29,AM_Type,0))="EQ","EQ-ST","SLAB"),IF(INDEX(AM_Cat,MATCH($C29,AM_Type,0))="EQ","EQ-LT",IF(INDEX(AM_Cat,MATCH($C29,AM_Type,0))="PROP","PROP-LT","FLAT-LT"))))))</f>
        <v/>
      </c>
      <c r="Q29" s="71">
        <f>IF($C29="","",IF($P29="","",IF($P29="EQ-LT","pooled",IF($P29="EQ-ST",MAX(0,0.2*$O29),IF($P29="PROP-LT",IF($M29="",MAX(0,0.125*$O29),MAX(0,MIN(0.125*$O29,0.2*($L29-$M29)))),IF($P29="FLAT-LT",MAX(0,0.125*$O29),IF($P29="SLAB",MAX(0,Slab_Rate*$O29),"")))))))</f>
        <v/>
      </c>
    </row>
    <row r="30" ht="15" customHeight="1" s="37">
      <c r="A30" s="72">
        <f>IF($C30="","",ROW()-8)</f>
        <v/>
      </c>
      <c r="B30" s="75" t="n"/>
      <c r="C30" s="75" t="n"/>
      <c r="D30" s="76" t="n"/>
      <c r="E30" s="76" t="n"/>
      <c r="F30" s="77" t="n"/>
      <c r="G30" s="77" t="n"/>
      <c r="H30" s="77" t="n"/>
      <c r="I30" s="77" t="n"/>
      <c r="J30" s="72">
        <f>IF(OR($C30="",NOT(ISNUMBER($D30)),NOT(ISNUMBER($E30))),"",DATEDIF($D30,$E30,"m"))</f>
        <v/>
      </c>
      <c r="K30" s="72">
        <f>IF(OR($C30="",NOT(ISNUMBER($D30)),NOT(ISNUMBER($E30))),"",IF($E30&gt;EDATE($D30,INDEX(AM_LTm,MATCH($C30,AM_Type,0))),"LTCG","STCG"))</f>
        <v/>
      </c>
      <c r="L30" s="74">
        <f>IF($C30="","",$G30-$H30)</f>
        <v/>
      </c>
      <c r="M30" s="74">
        <f>IF(OR($C30="",NOT(ISNUMBER($D30)),NOT(ISNUMBER($E30))),"",IF(AND(INDEX(AM_Index,MATCH($C30,AM_Type,0))=1,$K30="LTCG",$D30&lt;DATE(2024,7,23),Resident="Yes"),$F30*INDEX(CII_Val,MATCH(IF(MONTH($E30)&gt;=4,YEAR($E30),YEAR($E30)-1),CII_Year,0))/INDEX(CII_Val,MATCH(MAX(2001,IF(MONTH($D30)&gt;=4,YEAR($D30),YEAR($D30)-1)),CII_Year,0)),""))</f>
        <v/>
      </c>
      <c r="N30" s="74">
        <f>IF($C30="","",IF(AND(INDEX(AM_Grand,MATCH($C30,AM_Type,0))=1,$K30="LTCG",ISNUMBER($D30),$D30&lt;DATE(2018,2,1),$I30&lt;&gt;""),MAX($F30,MIN($I30,$G30)),$F30))</f>
        <v/>
      </c>
      <c r="O30" s="74">
        <f>IF($C30="","",$L30-$N30)</f>
        <v/>
      </c>
      <c r="P30" s="72">
        <f>IF($C30="","",IF(INDEX(AM_Cat,MATCH($C30,AM_Type,0))="SLABONLY","SLAB",IF($K30="","",IF($K30="STCG",IF(INDEX(AM_Cat,MATCH($C30,AM_Type,0))="EQ","EQ-ST","SLAB"),IF(INDEX(AM_Cat,MATCH($C30,AM_Type,0))="EQ","EQ-LT",IF(INDEX(AM_Cat,MATCH($C30,AM_Type,0))="PROP","PROP-LT","FLAT-LT"))))))</f>
        <v/>
      </c>
      <c r="Q30" s="74">
        <f>IF($C30="","",IF($P30="","",IF($P30="EQ-LT","pooled",IF($P30="EQ-ST",MAX(0,0.2*$O30),IF($P30="PROP-LT",IF($M30="",MAX(0,0.125*$O30),MAX(0,MIN(0.125*$O30,0.2*($L30-$M30)))),IF($P30="FLAT-LT",MAX(0,0.125*$O30),IF($P30="SLAB",MAX(0,Slab_Rate*$O30),"")))))))</f>
        <v/>
      </c>
    </row>
    <row r="31" ht="15" customHeight="1" s="37">
      <c r="A31" s="67">
        <f>IF($C31="","",ROW()-8)</f>
        <v/>
      </c>
      <c r="B31" s="75" t="n"/>
      <c r="C31" s="75" t="n"/>
      <c r="D31" s="76" t="n"/>
      <c r="E31" s="76" t="n"/>
      <c r="F31" s="77" t="n"/>
      <c r="G31" s="77" t="n"/>
      <c r="H31" s="77" t="n"/>
      <c r="I31" s="77" t="n"/>
      <c r="J31" s="67">
        <f>IF(OR($C31="",NOT(ISNUMBER($D31)),NOT(ISNUMBER($E31))),"",DATEDIF($D31,$E31,"m"))</f>
        <v/>
      </c>
      <c r="K31" s="67">
        <f>IF(OR($C31="",NOT(ISNUMBER($D31)),NOT(ISNUMBER($E31))),"",IF($E31&gt;EDATE($D31,INDEX(AM_LTm,MATCH($C31,AM_Type,0))),"LTCG","STCG"))</f>
        <v/>
      </c>
      <c r="L31" s="71">
        <f>IF($C31="","",$G31-$H31)</f>
        <v/>
      </c>
      <c r="M31" s="71">
        <f>IF(OR($C31="",NOT(ISNUMBER($D31)),NOT(ISNUMBER($E31))),"",IF(AND(INDEX(AM_Index,MATCH($C31,AM_Type,0))=1,$K31="LTCG",$D31&lt;DATE(2024,7,23),Resident="Yes"),$F31*INDEX(CII_Val,MATCH(IF(MONTH($E31)&gt;=4,YEAR($E31),YEAR($E31)-1),CII_Year,0))/INDEX(CII_Val,MATCH(MAX(2001,IF(MONTH($D31)&gt;=4,YEAR($D31),YEAR($D31)-1)),CII_Year,0)),""))</f>
        <v/>
      </c>
      <c r="N31" s="71">
        <f>IF($C31="","",IF(AND(INDEX(AM_Grand,MATCH($C31,AM_Type,0))=1,$K31="LTCG",ISNUMBER($D31),$D31&lt;DATE(2018,2,1),$I31&lt;&gt;""),MAX($F31,MIN($I31,$G31)),$F31))</f>
        <v/>
      </c>
      <c r="O31" s="71">
        <f>IF($C31="","",$L31-$N31)</f>
        <v/>
      </c>
      <c r="P31" s="67">
        <f>IF($C31="","",IF(INDEX(AM_Cat,MATCH($C31,AM_Type,0))="SLABONLY","SLAB",IF($K31="","",IF($K31="STCG",IF(INDEX(AM_Cat,MATCH($C31,AM_Type,0))="EQ","EQ-ST","SLAB"),IF(INDEX(AM_Cat,MATCH($C31,AM_Type,0))="EQ","EQ-LT",IF(INDEX(AM_Cat,MATCH($C31,AM_Type,0))="PROP","PROP-LT","FLAT-LT"))))))</f>
        <v/>
      </c>
      <c r="Q31" s="71">
        <f>IF($C31="","",IF($P31="","",IF($P31="EQ-LT","pooled",IF($P31="EQ-ST",MAX(0,0.2*$O31),IF($P31="PROP-LT",IF($M31="",MAX(0,0.125*$O31),MAX(0,MIN(0.125*$O31,0.2*($L31-$M31)))),IF($P31="FLAT-LT",MAX(0,0.125*$O31),IF($P31="SLAB",MAX(0,Slab_Rate*$O31),"")))))))</f>
        <v/>
      </c>
    </row>
    <row r="32" ht="15" customHeight="1" s="37">
      <c r="A32" s="72">
        <f>IF($C32="","",ROW()-8)</f>
        <v/>
      </c>
      <c r="B32" s="75" t="n"/>
      <c r="C32" s="75" t="n"/>
      <c r="D32" s="76" t="n"/>
      <c r="E32" s="76" t="n"/>
      <c r="F32" s="77" t="n"/>
      <c r="G32" s="77" t="n"/>
      <c r="H32" s="77" t="n"/>
      <c r="I32" s="77" t="n"/>
      <c r="J32" s="72">
        <f>IF(OR($C32="",NOT(ISNUMBER($D32)),NOT(ISNUMBER($E32))),"",DATEDIF($D32,$E32,"m"))</f>
        <v/>
      </c>
      <c r="K32" s="72">
        <f>IF(OR($C32="",NOT(ISNUMBER($D32)),NOT(ISNUMBER($E32))),"",IF($E32&gt;EDATE($D32,INDEX(AM_LTm,MATCH($C32,AM_Type,0))),"LTCG","STCG"))</f>
        <v/>
      </c>
      <c r="L32" s="74">
        <f>IF($C32="","",$G32-$H32)</f>
        <v/>
      </c>
      <c r="M32" s="74">
        <f>IF(OR($C32="",NOT(ISNUMBER($D32)),NOT(ISNUMBER($E32))),"",IF(AND(INDEX(AM_Index,MATCH($C32,AM_Type,0))=1,$K32="LTCG",$D32&lt;DATE(2024,7,23),Resident="Yes"),$F32*INDEX(CII_Val,MATCH(IF(MONTH($E32)&gt;=4,YEAR($E32),YEAR($E32)-1),CII_Year,0))/INDEX(CII_Val,MATCH(MAX(2001,IF(MONTH($D32)&gt;=4,YEAR($D32),YEAR($D32)-1)),CII_Year,0)),""))</f>
        <v/>
      </c>
      <c r="N32" s="74">
        <f>IF($C32="","",IF(AND(INDEX(AM_Grand,MATCH($C32,AM_Type,0))=1,$K32="LTCG",ISNUMBER($D32),$D32&lt;DATE(2018,2,1),$I32&lt;&gt;""),MAX($F32,MIN($I32,$G32)),$F32))</f>
        <v/>
      </c>
      <c r="O32" s="74">
        <f>IF($C32="","",$L32-$N32)</f>
        <v/>
      </c>
      <c r="P32" s="72">
        <f>IF($C32="","",IF(INDEX(AM_Cat,MATCH($C32,AM_Type,0))="SLABONLY","SLAB",IF($K32="","",IF($K32="STCG",IF(INDEX(AM_Cat,MATCH($C32,AM_Type,0))="EQ","EQ-ST","SLAB"),IF(INDEX(AM_Cat,MATCH($C32,AM_Type,0))="EQ","EQ-LT",IF(INDEX(AM_Cat,MATCH($C32,AM_Type,0))="PROP","PROP-LT","FLAT-LT"))))))</f>
        <v/>
      </c>
      <c r="Q32" s="74">
        <f>IF($C32="","",IF($P32="","",IF($P32="EQ-LT","pooled",IF($P32="EQ-ST",MAX(0,0.2*$O32),IF($P32="PROP-LT",IF($M32="",MAX(0,0.125*$O32),MAX(0,MIN(0.125*$O32,0.2*($L32-$M32)))),IF($P32="FLAT-LT",MAX(0,0.125*$O32),IF($P32="SLAB",MAX(0,Slab_Rate*$O32),"")))))))</f>
        <v/>
      </c>
    </row>
    <row r="33" ht="15" customHeight="1" s="37">
      <c r="A33" s="67">
        <f>IF($C33="","",ROW()-8)</f>
        <v/>
      </c>
      <c r="B33" s="75" t="n"/>
      <c r="C33" s="75" t="n"/>
      <c r="D33" s="76" t="n"/>
      <c r="E33" s="76" t="n"/>
      <c r="F33" s="77" t="n"/>
      <c r="G33" s="77" t="n"/>
      <c r="H33" s="77" t="n"/>
      <c r="I33" s="77" t="n"/>
      <c r="J33" s="67">
        <f>IF(OR($C33="",NOT(ISNUMBER($D33)),NOT(ISNUMBER($E33))),"",DATEDIF($D33,$E33,"m"))</f>
        <v/>
      </c>
      <c r="K33" s="67">
        <f>IF(OR($C33="",NOT(ISNUMBER($D33)),NOT(ISNUMBER($E33))),"",IF($E33&gt;EDATE($D33,INDEX(AM_LTm,MATCH($C33,AM_Type,0))),"LTCG","STCG"))</f>
        <v/>
      </c>
      <c r="L33" s="71">
        <f>IF($C33="","",$G33-$H33)</f>
        <v/>
      </c>
      <c r="M33" s="71">
        <f>IF(OR($C33="",NOT(ISNUMBER($D33)),NOT(ISNUMBER($E33))),"",IF(AND(INDEX(AM_Index,MATCH($C33,AM_Type,0))=1,$K33="LTCG",$D33&lt;DATE(2024,7,23),Resident="Yes"),$F33*INDEX(CII_Val,MATCH(IF(MONTH($E33)&gt;=4,YEAR($E33),YEAR($E33)-1),CII_Year,0))/INDEX(CII_Val,MATCH(MAX(2001,IF(MONTH($D33)&gt;=4,YEAR($D33),YEAR($D33)-1)),CII_Year,0)),""))</f>
        <v/>
      </c>
      <c r="N33" s="71">
        <f>IF($C33="","",IF(AND(INDEX(AM_Grand,MATCH($C33,AM_Type,0))=1,$K33="LTCG",ISNUMBER($D33),$D33&lt;DATE(2018,2,1),$I33&lt;&gt;""),MAX($F33,MIN($I33,$G33)),$F33))</f>
        <v/>
      </c>
      <c r="O33" s="71">
        <f>IF($C33="","",$L33-$N33)</f>
        <v/>
      </c>
      <c r="P33" s="67">
        <f>IF($C33="","",IF(INDEX(AM_Cat,MATCH($C33,AM_Type,0))="SLABONLY","SLAB",IF($K33="","",IF($K33="STCG",IF(INDEX(AM_Cat,MATCH($C33,AM_Type,0))="EQ","EQ-ST","SLAB"),IF(INDEX(AM_Cat,MATCH($C33,AM_Type,0))="EQ","EQ-LT",IF(INDEX(AM_Cat,MATCH($C33,AM_Type,0))="PROP","PROP-LT","FLAT-LT"))))))</f>
        <v/>
      </c>
      <c r="Q33" s="71">
        <f>IF($C33="","",IF($P33="","",IF($P33="EQ-LT","pooled",IF($P33="EQ-ST",MAX(0,0.2*$O33),IF($P33="PROP-LT",IF($M33="",MAX(0,0.125*$O33),MAX(0,MIN(0.125*$O33,0.2*($L33-$M33)))),IF($P33="FLAT-LT",MAX(0,0.125*$O33),IF($P33="SLAB",MAX(0,Slab_Rate*$O33),"")))))))</f>
        <v/>
      </c>
    </row>
    <row r="34" ht="15" customHeight="1" s="37">
      <c r="A34" s="72">
        <f>IF($C34="","",ROW()-8)</f>
        <v/>
      </c>
      <c r="B34" s="75" t="n"/>
      <c r="C34" s="75" t="n"/>
      <c r="D34" s="76" t="n"/>
      <c r="E34" s="76" t="n"/>
      <c r="F34" s="77" t="n"/>
      <c r="G34" s="77" t="n"/>
      <c r="H34" s="77" t="n"/>
      <c r="I34" s="77" t="n"/>
      <c r="J34" s="72">
        <f>IF(OR($C34="",NOT(ISNUMBER($D34)),NOT(ISNUMBER($E34))),"",DATEDIF($D34,$E34,"m"))</f>
        <v/>
      </c>
      <c r="K34" s="72">
        <f>IF(OR($C34="",NOT(ISNUMBER($D34)),NOT(ISNUMBER($E34))),"",IF($E34&gt;EDATE($D34,INDEX(AM_LTm,MATCH($C34,AM_Type,0))),"LTCG","STCG"))</f>
        <v/>
      </c>
      <c r="L34" s="74">
        <f>IF($C34="","",$G34-$H34)</f>
        <v/>
      </c>
      <c r="M34" s="74">
        <f>IF(OR($C34="",NOT(ISNUMBER($D34)),NOT(ISNUMBER($E34))),"",IF(AND(INDEX(AM_Index,MATCH($C34,AM_Type,0))=1,$K34="LTCG",$D34&lt;DATE(2024,7,23),Resident="Yes"),$F34*INDEX(CII_Val,MATCH(IF(MONTH($E34)&gt;=4,YEAR($E34),YEAR($E34)-1),CII_Year,0))/INDEX(CII_Val,MATCH(MAX(2001,IF(MONTH($D34)&gt;=4,YEAR($D34),YEAR($D34)-1)),CII_Year,0)),""))</f>
        <v/>
      </c>
      <c r="N34" s="74">
        <f>IF($C34="","",IF(AND(INDEX(AM_Grand,MATCH($C34,AM_Type,0))=1,$K34="LTCG",ISNUMBER($D34),$D34&lt;DATE(2018,2,1),$I34&lt;&gt;""),MAX($F34,MIN($I34,$G34)),$F34))</f>
        <v/>
      </c>
      <c r="O34" s="74">
        <f>IF($C34="","",$L34-$N34)</f>
        <v/>
      </c>
      <c r="P34" s="72">
        <f>IF($C34="","",IF(INDEX(AM_Cat,MATCH($C34,AM_Type,0))="SLABONLY","SLAB",IF($K34="","",IF($K34="STCG",IF(INDEX(AM_Cat,MATCH($C34,AM_Type,0))="EQ","EQ-ST","SLAB"),IF(INDEX(AM_Cat,MATCH($C34,AM_Type,0))="EQ","EQ-LT",IF(INDEX(AM_Cat,MATCH($C34,AM_Type,0))="PROP","PROP-LT","FLAT-LT"))))))</f>
        <v/>
      </c>
      <c r="Q34" s="74">
        <f>IF($C34="","",IF($P34="","",IF($P34="EQ-LT","pooled",IF($P34="EQ-ST",MAX(0,0.2*$O34),IF($P34="PROP-LT",IF($M34="",MAX(0,0.125*$O34),MAX(0,MIN(0.125*$O34,0.2*($L34-$M34)))),IF($P34="FLAT-LT",MAX(0,0.125*$O34),IF($P34="SLAB",MAX(0,Slab_Rate*$O34),"")))))))</f>
        <v/>
      </c>
    </row>
    <row r="35" ht="15" customHeight="1" s="37">
      <c r="A35" s="67">
        <f>IF($C35="","",ROW()-8)</f>
        <v/>
      </c>
      <c r="B35" s="75" t="n"/>
      <c r="C35" s="75" t="n"/>
      <c r="D35" s="76" t="n"/>
      <c r="E35" s="76" t="n"/>
      <c r="F35" s="77" t="n"/>
      <c r="G35" s="77" t="n"/>
      <c r="H35" s="77" t="n"/>
      <c r="I35" s="77" t="n"/>
      <c r="J35" s="67">
        <f>IF(OR($C35="",NOT(ISNUMBER($D35)),NOT(ISNUMBER($E35))),"",DATEDIF($D35,$E35,"m"))</f>
        <v/>
      </c>
      <c r="K35" s="67">
        <f>IF(OR($C35="",NOT(ISNUMBER($D35)),NOT(ISNUMBER($E35))),"",IF($E35&gt;EDATE($D35,INDEX(AM_LTm,MATCH($C35,AM_Type,0))),"LTCG","STCG"))</f>
        <v/>
      </c>
      <c r="L35" s="71">
        <f>IF($C35="","",$G35-$H35)</f>
        <v/>
      </c>
      <c r="M35" s="71">
        <f>IF(OR($C35="",NOT(ISNUMBER($D35)),NOT(ISNUMBER($E35))),"",IF(AND(INDEX(AM_Index,MATCH($C35,AM_Type,0))=1,$K35="LTCG",$D35&lt;DATE(2024,7,23),Resident="Yes"),$F35*INDEX(CII_Val,MATCH(IF(MONTH($E35)&gt;=4,YEAR($E35),YEAR($E35)-1),CII_Year,0))/INDEX(CII_Val,MATCH(MAX(2001,IF(MONTH($D35)&gt;=4,YEAR($D35),YEAR($D35)-1)),CII_Year,0)),""))</f>
        <v/>
      </c>
      <c r="N35" s="71">
        <f>IF($C35="","",IF(AND(INDEX(AM_Grand,MATCH($C35,AM_Type,0))=1,$K35="LTCG",ISNUMBER($D35),$D35&lt;DATE(2018,2,1),$I35&lt;&gt;""),MAX($F35,MIN($I35,$G35)),$F35))</f>
        <v/>
      </c>
      <c r="O35" s="71">
        <f>IF($C35="","",$L35-$N35)</f>
        <v/>
      </c>
      <c r="P35" s="67">
        <f>IF($C35="","",IF(INDEX(AM_Cat,MATCH($C35,AM_Type,0))="SLABONLY","SLAB",IF($K35="","",IF($K35="STCG",IF(INDEX(AM_Cat,MATCH($C35,AM_Type,0))="EQ","EQ-ST","SLAB"),IF(INDEX(AM_Cat,MATCH($C35,AM_Type,0))="EQ","EQ-LT",IF(INDEX(AM_Cat,MATCH($C35,AM_Type,0))="PROP","PROP-LT","FLAT-LT"))))))</f>
        <v/>
      </c>
      <c r="Q35" s="71">
        <f>IF($C35="","",IF($P35="","",IF($P35="EQ-LT","pooled",IF($P35="EQ-ST",MAX(0,0.2*$O35),IF($P35="PROP-LT",IF($M35="",MAX(0,0.125*$O35),MAX(0,MIN(0.125*$O35,0.2*($L35-$M35)))),IF($P35="FLAT-LT",MAX(0,0.125*$O35),IF($P35="SLAB",MAX(0,Slab_Rate*$O35),"")))))))</f>
        <v/>
      </c>
    </row>
    <row r="36" ht="15" customHeight="1" s="37">
      <c r="A36" s="72">
        <f>IF($C36="","",ROW()-8)</f>
        <v/>
      </c>
      <c r="B36" s="75" t="n"/>
      <c r="C36" s="75" t="n"/>
      <c r="D36" s="76" t="n"/>
      <c r="E36" s="76" t="n"/>
      <c r="F36" s="77" t="n"/>
      <c r="G36" s="77" t="n"/>
      <c r="H36" s="77" t="n"/>
      <c r="I36" s="77" t="n"/>
      <c r="J36" s="72">
        <f>IF(OR($C36="",NOT(ISNUMBER($D36)),NOT(ISNUMBER($E36))),"",DATEDIF($D36,$E36,"m"))</f>
        <v/>
      </c>
      <c r="K36" s="72">
        <f>IF(OR($C36="",NOT(ISNUMBER($D36)),NOT(ISNUMBER($E36))),"",IF($E36&gt;EDATE($D36,INDEX(AM_LTm,MATCH($C36,AM_Type,0))),"LTCG","STCG"))</f>
        <v/>
      </c>
      <c r="L36" s="74">
        <f>IF($C36="","",$G36-$H36)</f>
        <v/>
      </c>
      <c r="M36" s="74">
        <f>IF(OR($C36="",NOT(ISNUMBER($D36)),NOT(ISNUMBER($E36))),"",IF(AND(INDEX(AM_Index,MATCH($C36,AM_Type,0))=1,$K36="LTCG",$D36&lt;DATE(2024,7,23),Resident="Yes"),$F36*INDEX(CII_Val,MATCH(IF(MONTH($E36)&gt;=4,YEAR($E36),YEAR($E36)-1),CII_Year,0))/INDEX(CII_Val,MATCH(MAX(2001,IF(MONTH($D36)&gt;=4,YEAR($D36),YEAR($D36)-1)),CII_Year,0)),""))</f>
        <v/>
      </c>
      <c r="N36" s="74">
        <f>IF($C36="","",IF(AND(INDEX(AM_Grand,MATCH($C36,AM_Type,0))=1,$K36="LTCG",ISNUMBER($D36),$D36&lt;DATE(2018,2,1),$I36&lt;&gt;""),MAX($F36,MIN($I36,$G36)),$F36))</f>
        <v/>
      </c>
      <c r="O36" s="74">
        <f>IF($C36="","",$L36-$N36)</f>
        <v/>
      </c>
      <c r="P36" s="72">
        <f>IF($C36="","",IF(INDEX(AM_Cat,MATCH($C36,AM_Type,0))="SLABONLY","SLAB",IF($K36="","",IF($K36="STCG",IF(INDEX(AM_Cat,MATCH($C36,AM_Type,0))="EQ","EQ-ST","SLAB"),IF(INDEX(AM_Cat,MATCH($C36,AM_Type,0))="EQ","EQ-LT",IF(INDEX(AM_Cat,MATCH($C36,AM_Type,0))="PROP","PROP-LT","FLAT-LT"))))))</f>
        <v/>
      </c>
      <c r="Q36" s="74">
        <f>IF($C36="","",IF($P36="","",IF($P36="EQ-LT","pooled",IF($P36="EQ-ST",MAX(0,0.2*$O36),IF($P36="PROP-LT",IF($M36="",MAX(0,0.125*$O36),MAX(0,MIN(0.125*$O36,0.2*($L36-$M36)))),IF($P36="FLAT-LT",MAX(0,0.125*$O36),IF($P36="SLAB",MAX(0,Slab_Rate*$O36),"")))))))</f>
        <v/>
      </c>
    </row>
    <row r="37" ht="15" customHeight="1" s="37">
      <c r="A37" s="67">
        <f>IF($C37="","",ROW()-8)</f>
        <v/>
      </c>
      <c r="B37" s="75" t="n"/>
      <c r="C37" s="75" t="n"/>
      <c r="D37" s="76" t="n"/>
      <c r="E37" s="76" t="n"/>
      <c r="F37" s="77" t="n"/>
      <c r="G37" s="77" t="n"/>
      <c r="H37" s="77" t="n"/>
      <c r="I37" s="77" t="n"/>
      <c r="J37" s="67">
        <f>IF(OR($C37="",NOT(ISNUMBER($D37)),NOT(ISNUMBER($E37))),"",DATEDIF($D37,$E37,"m"))</f>
        <v/>
      </c>
      <c r="K37" s="67">
        <f>IF(OR($C37="",NOT(ISNUMBER($D37)),NOT(ISNUMBER($E37))),"",IF($E37&gt;EDATE($D37,INDEX(AM_LTm,MATCH($C37,AM_Type,0))),"LTCG","STCG"))</f>
        <v/>
      </c>
      <c r="L37" s="71">
        <f>IF($C37="","",$G37-$H37)</f>
        <v/>
      </c>
      <c r="M37" s="71">
        <f>IF(OR($C37="",NOT(ISNUMBER($D37)),NOT(ISNUMBER($E37))),"",IF(AND(INDEX(AM_Index,MATCH($C37,AM_Type,0))=1,$K37="LTCG",$D37&lt;DATE(2024,7,23),Resident="Yes"),$F37*INDEX(CII_Val,MATCH(IF(MONTH($E37)&gt;=4,YEAR($E37),YEAR($E37)-1),CII_Year,0))/INDEX(CII_Val,MATCH(MAX(2001,IF(MONTH($D37)&gt;=4,YEAR($D37),YEAR($D37)-1)),CII_Year,0)),""))</f>
        <v/>
      </c>
      <c r="N37" s="71">
        <f>IF($C37="","",IF(AND(INDEX(AM_Grand,MATCH($C37,AM_Type,0))=1,$K37="LTCG",ISNUMBER($D37),$D37&lt;DATE(2018,2,1),$I37&lt;&gt;""),MAX($F37,MIN($I37,$G37)),$F37))</f>
        <v/>
      </c>
      <c r="O37" s="71">
        <f>IF($C37="","",$L37-$N37)</f>
        <v/>
      </c>
      <c r="P37" s="67">
        <f>IF($C37="","",IF(INDEX(AM_Cat,MATCH($C37,AM_Type,0))="SLABONLY","SLAB",IF($K37="","",IF($K37="STCG",IF(INDEX(AM_Cat,MATCH($C37,AM_Type,0))="EQ","EQ-ST","SLAB"),IF(INDEX(AM_Cat,MATCH($C37,AM_Type,0))="EQ","EQ-LT",IF(INDEX(AM_Cat,MATCH($C37,AM_Type,0))="PROP","PROP-LT","FLAT-LT"))))))</f>
        <v/>
      </c>
      <c r="Q37" s="71">
        <f>IF($C37="","",IF($P37="","",IF($P37="EQ-LT","pooled",IF($P37="EQ-ST",MAX(0,0.2*$O37),IF($P37="PROP-LT",IF($M37="",MAX(0,0.125*$O37),MAX(0,MIN(0.125*$O37,0.2*($L37-$M37)))),IF($P37="FLAT-LT",MAX(0,0.125*$O37),IF($P37="SLAB",MAX(0,Slab_Rate*$O37),"")))))))</f>
        <v/>
      </c>
    </row>
    <row r="38" ht="15" customHeight="1" s="37">
      <c r="A38" s="72">
        <f>IF($C38="","",ROW()-8)</f>
        <v/>
      </c>
      <c r="B38" s="75" t="n"/>
      <c r="C38" s="75" t="n"/>
      <c r="D38" s="76" t="n"/>
      <c r="E38" s="76" t="n"/>
      <c r="F38" s="77" t="n"/>
      <c r="G38" s="77" t="n"/>
      <c r="H38" s="77" t="n"/>
      <c r="I38" s="77" t="n"/>
      <c r="J38" s="72">
        <f>IF(OR($C38="",NOT(ISNUMBER($D38)),NOT(ISNUMBER($E38))),"",DATEDIF($D38,$E38,"m"))</f>
        <v/>
      </c>
      <c r="K38" s="72">
        <f>IF(OR($C38="",NOT(ISNUMBER($D38)),NOT(ISNUMBER($E38))),"",IF($E38&gt;EDATE($D38,INDEX(AM_LTm,MATCH($C38,AM_Type,0))),"LTCG","STCG"))</f>
        <v/>
      </c>
      <c r="L38" s="74">
        <f>IF($C38="","",$G38-$H38)</f>
        <v/>
      </c>
      <c r="M38" s="74">
        <f>IF(OR($C38="",NOT(ISNUMBER($D38)),NOT(ISNUMBER($E38))),"",IF(AND(INDEX(AM_Index,MATCH($C38,AM_Type,0))=1,$K38="LTCG",$D38&lt;DATE(2024,7,23),Resident="Yes"),$F38*INDEX(CII_Val,MATCH(IF(MONTH($E38)&gt;=4,YEAR($E38),YEAR($E38)-1),CII_Year,0))/INDEX(CII_Val,MATCH(MAX(2001,IF(MONTH($D38)&gt;=4,YEAR($D38),YEAR($D38)-1)),CII_Year,0)),""))</f>
        <v/>
      </c>
      <c r="N38" s="74">
        <f>IF($C38="","",IF(AND(INDEX(AM_Grand,MATCH($C38,AM_Type,0))=1,$K38="LTCG",ISNUMBER($D38),$D38&lt;DATE(2018,2,1),$I38&lt;&gt;""),MAX($F38,MIN($I38,$G38)),$F38))</f>
        <v/>
      </c>
      <c r="O38" s="74">
        <f>IF($C38="","",$L38-$N38)</f>
        <v/>
      </c>
      <c r="P38" s="72">
        <f>IF($C38="","",IF(INDEX(AM_Cat,MATCH($C38,AM_Type,0))="SLABONLY","SLAB",IF($K38="","",IF($K38="STCG",IF(INDEX(AM_Cat,MATCH($C38,AM_Type,0))="EQ","EQ-ST","SLAB"),IF(INDEX(AM_Cat,MATCH($C38,AM_Type,0))="EQ","EQ-LT",IF(INDEX(AM_Cat,MATCH($C38,AM_Type,0))="PROP","PROP-LT","FLAT-LT"))))))</f>
        <v/>
      </c>
      <c r="Q38" s="74">
        <f>IF($C38="","",IF($P38="","",IF($P38="EQ-LT","pooled",IF($P38="EQ-ST",MAX(0,0.2*$O38),IF($P38="PROP-LT",IF($M38="",MAX(0,0.125*$O38),MAX(0,MIN(0.125*$O38,0.2*($L38-$M38)))),IF($P38="FLAT-LT",MAX(0,0.125*$O38),IF($P38="SLAB",MAX(0,Slab_Rate*$O38),"")))))))</f>
        <v/>
      </c>
    </row>
    <row r="39" ht="15" customHeight="1" s="37">
      <c r="A39" s="67">
        <f>IF($C39="","",ROW()-8)</f>
        <v/>
      </c>
      <c r="B39" s="75" t="n"/>
      <c r="C39" s="75" t="n"/>
      <c r="D39" s="76" t="n"/>
      <c r="E39" s="76" t="n"/>
      <c r="F39" s="77" t="n"/>
      <c r="G39" s="77" t="n"/>
      <c r="H39" s="77" t="n"/>
      <c r="I39" s="77" t="n"/>
      <c r="J39" s="67">
        <f>IF(OR($C39="",NOT(ISNUMBER($D39)),NOT(ISNUMBER($E39))),"",DATEDIF($D39,$E39,"m"))</f>
        <v/>
      </c>
      <c r="K39" s="67">
        <f>IF(OR($C39="",NOT(ISNUMBER($D39)),NOT(ISNUMBER($E39))),"",IF($E39&gt;EDATE($D39,INDEX(AM_LTm,MATCH($C39,AM_Type,0))),"LTCG","STCG"))</f>
        <v/>
      </c>
      <c r="L39" s="71">
        <f>IF($C39="","",$G39-$H39)</f>
        <v/>
      </c>
      <c r="M39" s="71">
        <f>IF(OR($C39="",NOT(ISNUMBER($D39)),NOT(ISNUMBER($E39))),"",IF(AND(INDEX(AM_Index,MATCH($C39,AM_Type,0))=1,$K39="LTCG",$D39&lt;DATE(2024,7,23),Resident="Yes"),$F39*INDEX(CII_Val,MATCH(IF(MONTH($E39)&gt;=4,YEAR($E39),YEAR($E39)-1),CII_Year,0))/INDEX(CII_Val,MATCH(MAX(2001,IF(MONTH($D39)&gt;=4,YEAR($D39),YEAR($D39)-1)),CII_Year,0)),""))</f>
        <v/>
      </c>
      <c r="N39" s="71">
        <f>IF($C39="","",IF(AND(INDEX(AM_Grand,MATCH($C39,AM_Type,0))=1,$K39="LTCG",ISNUMBER($D39),$D39&lt;DATE(2018,2,1),$I39&lt;&gt;""),MAX($F39,MIN($I39,$G39)),$F39))</f>
        <v/>
      </c>
      <c r="O39" s="71">
        <f>IF($C39="","",$L39-$N39)</f>
        <v/>
      </c>
      <c r="P39" s="67">
        <f>IF($C39="","",IF(INDEX(AM_Cat,MATCH($C39,AM_Type,0))="SLABONLY","SLAB",IF($K39="","",IF($K39="STCG",IF(INDEX(AM_Cat,MATCH($C39,AM_Type,0))="EQ","EQ-ST","SLAB"),IF(INDEX(AM_Cat,MATCH($C39,AM_Type,0))="EQ","EQ-LT",IF(INDEX(AM_Cat,MATCH($C39,AM_Type,0))="PROP","PROP-LT","FLAT-LT"))))))</f>
        <v/>
      </c>
      <c r="Q39" s="71">
        <f>IF($C39="","",IF($P39="","",IF($P39="EQ-LT","pooled",IF($P39="EQ-ST",MAX(0,0.2*$O39),IF($P39="PROP-LT",IF($M39="",MAX(0,0.125*$O39),MAX(0,MIN(0.125*$O39,0.2*($L39-$M39)))),IF($P39="FLAT-LT",MAX(0,0.125*$O39),IF($P39="SLAB",MAX(0,Slab_Rate*$O39),"")))))))</f>
        <v/>
      </c>
    </row>
    <row r="40" ht="15" customHeight="1" s="37">
      <c r="A40" s="72">
        <f>IF($C40="","",ROW()-8)</f>
        <v/>
      </c>
      <c r="B40" s="75" t="n"/>
      <c r="C40" s="75" t="n"/>
      <c r="D40" s="76" t="n"/>
      <c r="E40" s="76" t="n"/>
      <c r="F40" s="77" t="n"/>
      <c r="G40" s="77" t="n"/>
      <c r="H40" s="77" t="n"/>
      <c r="I40" s="77" t="n"/>
      <c r="J40" s="72">
        <f>IF(OR($C40="",NOT(ISNUMBER($D40)),NOT(ISNUMBER($E40))),"",DATEDIF($D40,$E40,"m"))</f>
        <v/>
      </c>
      <c r="K40" s="72">
        <f>IF(OR($C40="",NOT(ISNUMBER($D40)),NOT(ISNUMBER($E40))),"",IF($E40&gt;EDATE($D40,INDEX(AM_LTm,MATCH($C40,AM_Type,0))),"LTCG","STCG"))</f>
        <v/>
      </c>
      <c r="L40" s="74">
        <f>IF($C40="","",$G40-$H40)</f>
        <v/>
      </c>
      <c r="M40" s="74">
        <f>IF(OR($C40="",NOT(ISNUMBER($D40)),NOT(ISNUMBER($E40))),"",IF(AND(INDEX(AM_Index,MATCH($C40,AM_Type,0))=1,$K40="LTCG",$D40&lt;DATE(2024,7,23),Resident="Yes"),$F40*INDEX(CII_Val,MATCH(IF(MONTH($E40)&gt;=4,YEAR($E40),YEAR($E40)-1),CII_Year,0))/INDEX(CII_Val,MATCH(MAX(2001,IF(MONTH($D40)&gt;=4,YEAR($D40),YEAR($D40)-1)),CII_Year,0)),""))</f>
        <v/>
      </c>
      <c r="N40" s="74">
        <f>IF($C40="","",IF(AND(INDEX(AM_Grand,MATCH($C40,AM_Type,0))=1,$K40="LTCG",ISNUMBER($D40),$D40&lt;DATE(2018,2,1),$I40&lt;&gt;""),MAX($F40,MIN($I40,$G40)),$F40))</f>
        <v/>
      </c>
      <c r="O40" s="74">
        <f>IF($C40="","",$L40-$N40)</f>
        <v/>
      </c>
      <c r="P40" s="72">
        <f>IF($C40="","",IF(INDEX(AM_Cat,MATCH($C40,AM_Type,0))="SLABONLY","SLAB",IF($K40="","",IF($K40="STCG",IF(INDEX(AM_Cat,MATCH($C40,AM_Type,0))="EQ","EQ-ST","SLAB"),IF(INDEX(AM_Cat,MATCH($C40,AM_Type,0))="EQ","EQ-LT",IF(INDEX(AM_Cat,MATCH($C40,AM_Type,0))="PROP","PROP-LT","FLAT-LT"))))))</f>
        <v/>
      </c>
      <c r="Q40" s="74">
        <f>IF($C40="","",IF($P40="","",IF($P40="EQ-LT","pooled",IF($P40="EQ-ST",MAX(0,0.2*$O40),IF($P40="PROP-LT",IF($M40="",MAX(0,0.125*$O40),MAX(0,MIN(0.125*$O40,0.2*($L40-$M40)))),IF($P40="FLAT-LT",MAX(0,0.125*$O40),IF($P40="SLAB",MAX(0,Slab_Rate*$O40),"")))))))</f>
        <v/>
      </c>
    </row>
    <row r="41" ht="15" customHeight="1" s="37">
      <c r="A41" s="67">
        <f>IF($C41="","",ROW()-8)</f>
        <v/>
      </c>
      <c r="B41" s="75" t="n"/>
      <c r="C41" s="75" t="n"/>
      <c r="D41" s="76" t="n"/>
      <c r="E41" s="76" t="n"/>
      <c r="F41" s="77" t="n"/>
      <c r="G41" s="77" t="n"/>
      <c r="H41" s="77" t="n"/>
      <c r="I41" s="77" t="n"/>
      <c r="J41" s="67">
        <f>IF(OR($C41="",NOT(ISNUMBER($D41)),NOT(ISNUMBER($E41))),"",DATEDIF($D41,$E41,"m"))</f>
        <v/>
      </c>
      <c r="K41" s="67">
        <f>IF(OR($C41="",NOT(ISNUMBER($D41)),NOT(ISNUMBER($E41))),"",IF($E41&gt;EDATE($D41,INDEX(AM_LTm,MATCH($C41,AM_Type,0))),"LTCG","STCG"))</f>
        <v/>
      </c>
      <c r="L41" s="71">
        <f>IF($C41="","",$G41-$H41)</f>
        <v/>
      </c>
      <c r="M41" s="71">
        <f>IF(OR($C41="",NOT(ISNUMBER($D41)),NOT(ISNUMBER($E41))),"",IF(AND(INDEX(AM_Index,MATCH($C41,AM_Type,0))=1,$K41="LTCG",$D41&lt;DATE(2024,7,23),Resident="Yes"),$F41*INDEX(CII_Val,MATCH(IF(MONTH($E41)&gt;=4,YEAR($E41),YEAR($E41)-1),CII_Year,0))/INDEX(CII_Val,MATCH(MAX(2001,IF(MONTH($D41)&gt;=4,YEAR($D41),YEAR($D41)-1)),CII_Year,0)),""))</f>
        <v/>
      </c>
      <c r="N41" s="71">
        <f>IF($C41="","",IF(AND(INDEX(AM_Grand,MATCH($C41,AM_Type,0))=1,$K41="LTCG",ISNUMBER($D41),$D41&lt;DATE(2018,2,1),$I41&lt;&gt;""),MAX($F41,MIN($I41,$G41)),$F41))</f>
        <v/>
      </c>
      <c r="O41" s="71">
        <f>IF($C41="","",$L41-$N41)</f>
        <v/>
      </c>
      <c r="P41" s="67">
        <f>IF($C41="","",IF(INDEX(AM_Cat,MATCH($C41,AM_Type,0))="SLABONLY","SLAB",IF($K41="","",IF($K41="STCG",IF(INDEX(AM_Cat,MATCH($C41,AM_Type,0))="EQ","EQ-ST","SLAB"),IF(INDEX(AM_Cat,MATCH($C41,AM_Type,0))="EQ","EQ-LT",IF(INDEX(AM_Cat,MATCH($C41,AM_Type,0))="PROP","PROP-LT","FLAT-LT"))))))</f>
        <v/>
      </c>
      <c r="Q41" s="71">
        <f>IF($C41="","",IF($P41="","",IF($P41="EQ-LT","pooled",IF($P41="EQ-ST",MAX(0,0.2*$O41),IF($P41="PROP-LT",IF($M41="",MAX(0,0.125*$O41),MAX(0,MIN(0.125*$O41,0.2*($L41-$M41)))),IF($P41="FLAT-LT",MAX(0,0.125*$O41),IF($P41="SLAB",MAX(0,Slab_Rate*$O41),"")))))))</f>
        <v/>
      </c>
    </row>
    <row r="42" ht="15" customHeight="1" s="37">
      <c r="A42" s="72">
        <f>IF($C42="","",ROW()-8)</f>
        <v/>
      </c>
      <c r="B42" s="75" t="n"/>
      <c r="C42" s="75" t="n"/>
      <c r="D42" s="76" t="n"/>
      <c r="E42" s="76" t="n"/>
      <c r="F42" s="77" t="n"/>
      <c r="G42" s="77" t="n"/>
      <c r="H42" s="77" t="n"/>
      <c r="I42" s="77" t="n"/>
      <c r="J42" s="72">
        <f>IF(OR($C42="",NOT(ISNUMBER($D42)),NOT(ISNUMBER($E42))),"",DATEDIF($D42,$E42,"m"))</f>
        <v/>
      </c>
      <c r="K42" s="72">
        <f>IF(OR($C42="",NOT(ISNUMBER($D42)),NOT(ISNUMBER($E42))),"",IF($E42&gt;EDATE($D42,INDEX(AM_LTm,MATCH($C42,AM_Type,0))),"LTCG","STCG"))</f>
        <v/>
      </c>
      <c r="L42" s="74">
        <f>IF($C42="","",$G42-$H42)</f>
        <v/>
      </c>
      <c r="M42" s="74">
        <f>IF(OR($C42="",NOT(ISNUMBER($D42)),NOT(ISNUMBER($E42))),"",IF(AND(INDEX(AM_Index,MATCH($C42,AM_Type,0))=1,$K42="LTCG",$D42&lt;DATE(2024,7,23),Resident="Yes"),$F42*INDEX(CII_Val,MATCH(IF(MONTH($E42)&gt;=4,YEAR($E42),YEAR($E42)-1),CII_Year,0))/INDEX(CII_Val,MATCH(MAX(2001,IF(MONTH($D42)&gt;=4,YEAR($D42),YEAR($D42)-1)),CII_Year,0)),""))</f>
        <v/>
      </c>
      <c r="N42" s="74">
        <f>IF($C42="","",IF(AND(INDEX(AM_Grand,MATCH($C42,AM_Type,0))=1,$K42="LTCG",ISNUMBER($D42),$D42&lt;DATE(2018,2,1),$I42&lt;&gt;""),MAX($F42,MIN($I42,$G42)),$F42))</f>
        <v/>
      </c>
      <c r="O42" s="74">
        <f>IF($C42="","",$L42-$N42)</f>
        <v/>
      </c>
      <c r="P42" s="72">
        <f>IF($C42="","",IF(INDEX(AM_Cat,MATCH($C42,AM_Type,0))="SLABONLY","SLAB",IF($K42="","",IF($K42="STCG",IF(INDEX(AM_Cat,MATCH($C42,AM_Type,0))="EQ","EQ-ST","SLAB"),IF(INDEX(AM_Cat,MATCH($C42,AM_Type,0))="EQ","EQ-LT",IF(INDEX(AM_Cat,MATCH($C42,AM_Type,0))="PROP","PROP-LT","FLAT-LT"))))))</f>
        <v/>
      </c>
      <c r="Q42" s="74">
        <f>IF($C42="","",IF($P42="","",IF($P42="EQ-LT","pooled",IF($P42="EQ-ST",MAX(0,0.2*$O42),IF($P42="PROP-LT",IF($M42="",MAX(0,0.125*$O42),MAX(0,MIN(0.125*$O42,0.2*($L42-$M42)))),IF($P42="FLAT-LT",MAX(0,0.125*$O42),IF($P42="SLAB",MAX(0,Slab_Rate*$O42),"")))))))</f>
        <v/>
      </c>
    </row>
    <row r="43" ht="15" customHeight="1" s="37">
      <c r="A43" s="67">
        <f>IF($C43="","",ROW()-8)</f>
        <v/>
      </c>
      <c r="B43" s="75" t="n"/>
      <c r="C43" s="75" t="n"/>
      <c r="D43" s="76" t="n"/>
      <c r="E43" s="76" t="n"/>
      <c r="F43" s="77" t="n"/>
      <c r="G43" s="77" t="n"/>
      <c r="H43" s="77" t="n"/>
      <c r="I43" s="77" t="n"/>
      <c r="J43" s="67">
        <f>IF(OR($C43="",NOT(ISNUMBER($D43)),NOT(ISNUMBER($E43))),"",DATEDIF($D43,$E43,"m"))</f>
        <v/>
      </c>
      <c r="K43" s="67">
        <f>IF(OR($C43="",NOT(ISNUMBER($D43)),NOT(ISNUMBER($E43))),"",IF($E43&gt;EDATE($D43,INDEX(AM_LTm,MATCH($C43,AM_Type,0))),"LTCG","STCG"))</f>
        <v/>
      </c>
      <c r="L43" s="71">
        <f>IF($C43="","",$G43-$H43)</f>
        <v/>
      </c>
      <c r="M43" s="71">
        <f>IF(OR($C43="",NOT(ISNUMBER($D43)),NOT(ISNUMBER($E43))),"",IF(AND(INDEX(AM_Index,MATCH($C43,AM_Type,0))=1,$K43="LTCG",$D43&lt;DATE(2024,7,23),Resident="Yes"),$F43*INDEX(CII_Val,MATCH(IF(MONTH($E43)&gt;=4,YEAR($E43),YEAR($E43)-1),CII_Year,0))/INDEX(CII_Val,MATCH(MAX(2001,IF(MONTH($D43)&gt;=4,YEAR($D43),YEAR($D43)-1)),CII_Year,0)),""))</f>
        <v/>
      </c>
      <c r="N43" s="71">
        <f>IF($C43="","",IF(AND(INDEX(AM_Grand,MATCH($C43,AM_Type,0))=1,$K43="LTCG",ISNUMBER($D43),$D43&lt;DATE(2018,2,1),$I43&lt;&gt;""),MAX($F43,MIN($I43,$G43)),$F43))</f>
        <v/>
      </c>
      <c r="O43" s="71">
        <f>IF($C43="","",$L43-$N43)</f>
        <v/>
      </c>
      <c r="P43" s="67">
        <f>IF($C43="","",IF(INDEX(AM_Cat,MATCH($C43,AM_Type,0))="SLABONLY","SLAB",IF($K43="","",IF($K43="STCG",IF(INDEX(AM_Cat,MATCH($C43,AM_Type,0))="EQ","EQ-ST","SLAB"),IF(INDEX(AM_Cat,MATCH($C43,AM_Type,0))="EQ","EQ-LT",IF(INDEX(AM_Cat,MATCH($C43,AM_Type,0))="PROP","PROP-LT","FLAT-LT"))))))</f>
        <v/>
      </c>
      <c r="Q43" s="71">
        <f>IF($C43="","",IF($P43="","",IF($P43="EQ-LT","pooled",IF($P43="EQ-ST",MAX(0,0.2*$O43),IF($P43="PROP-LT",IF($M43="",MAX(0,0.125*$O43),MAX(0,MIN(0.125*$O43,0.2*($L43-$M43)))),IF($P43="FLAT-LT",MAX(0,0.125*$O43),IF($P43="SLAB",MAX(0,Slab_Rate*$O43),"")))))))</f>
        <v/>
      </c>
    </row>
    <row r="44" ht="15" customHeight="1" s="37">
      <c r="A44" s="72">
        <f>IF($C44="","",ROW()-8)</f>
        <v/>
      </c>
      <c r="B44" s="75" t="n"/>
      <c r="C44" s="75" t="n"/>
      <c r="D44" s="76" t="n"/>
      <c r="E44" s="76" t="n"/>
      <c r="F44" s="77" t="n"/>
      <c r="G44" s="77" t="n"/>
      <c r="H44" s="77" t="n"/>
      <c r="I44" s="77" t="n"/>
      <c r="J44" s="72">
        <f>IF(OR($C44="",NOT(ISNUMBER($D44)),NOT(ISNUMBER($E44))),"",DATEDIF($D44,$E44,"m"))</f>
        <v/>
      </c>
      <c r="K44" s="72">
        <f>IF(OR($C44="",NOT(ISNUMBER($D44)),NOT(ISNUMBER($E44))),"",IF($E44&gt;EDATE($D44,INDEX(AM_LTm,MATCH($C44,AM_Type,0))),"LTCG","STCG"))</f>
        <v/>
      </c>
      <c r="L44" s="74">
        <f>IF($C44="","",$G44-$H44)</f>
        <v/>
      </c>
      <c r="M44" s="74">
        <f>IF(OR($C44="",NOT(ISNUMBER($D44)),NOT(ISNUMBER($E44))),"",IF(AND(INDEX(AM_Index,MATCH($C44,AM_Type,0))=1,$K44="LTCG",$D44&lt;DATE(2024,7,23),Resident="Yes"),$F44*INDEX(CII_Val,MATCH(IF(MONTH($E44)&gt;=4,YEAR($E44),YEAR($E44)-1),CII_Year,0))/INDEX(CII_Val,MATCH(MAX(2001,IF(MONTH($D44)&gt;=4,YEAR($D44),YEAR($D44)-1)),CII_Year,0)),""))</f>
        <v/>
      </c>
      <c r="N44" s="74">
        <f>IF($C44="","",IF(AND(INDEX(AM_Grand,MATCH($C44,AM_Type,0))=1,$K44="LTCG",ISNUMBER($D44),$D44&lt;DATE(2018,2,1),$I44&lt;&gt;""),MAX($F44,MIN($I44,$G44)),$F44))</f>
        <v/>
      </c>
      <c r="O44" s="74">
        <f>IF($C44="","",$L44-$N44)</f>
        <v/>
      </c>
      <c r="P44" s="72">
        <f>IF($C44="","",IF(INDEX(AM_Cat,MATCH($C44,AM_Type,0))="SLABONLY","SLAB",IF($K44="","",IF($K44="STCG",IF(INDEX(AM_Cat,MATCH($C44,AM_Type,0))="EQ","EQ-ST","SLAB"),IF(INDEX(AM_Cat,MATCH($C44,AM_Type,0))="EQ","EQ-LT",IF(INDEX(AM_Cat,MATCH($C44,AM_Type,0))="PROP","PROP-LT","FLAT-LT"))))))</f>
        <v/>
      </c>
      <c r="Q44" s="74">
        <f>IF($C44="","",IF($P44="","",IF($P44="EQ-LT","pooled",IF($P44="EQ-ST",MAX(0,0.2*$O44),IF($P44="PROP-LT",IF($M44="",MAX(0,0.125*$O44),MAX(0,MIN(0.125*$O44,0.2*($L44-$M44)))),IF($P44="FLAT-LT",MAX(0,0.125*$O44),IF($P44="SLAB",MAX(0,Slab_Rate*$O44),"")))))))</f>
        <v/>
      </c>
    </row>
    <row r="45" ht="15" customHeight="1" s="37">
      <c r="A45" s="67">
        <f>IF($C45="","",ROW()-8)</f>
        <v/>
      </c>
      <c r="B45" s="75" t="n"/>
      <c r="C45" s="75" t="n"/>
      <c r="D45" s="76" t="n"/>
      <c r="E45" s="76" t="n"/>
      <c r="F45" s="77" t="n"/>
      <c r="G45" s="77" t="n"/>
      <c r="H45" s="77" t="n"/>
      <c r="I45" s="77" t="n"/>
      <c r="J45" s="67">
        <f>IF(OR($C45="",NOT(ISNUMBER($D45)),NOT(ISNUMBER($E45))),"",DATEDIF($D45,$E45,"m"))</f>
        <v/>
      </c>
      <c r="K45" s="67">
        <f>IF(OR($C45="",NOT(ISNUMBER($D45)),NOT(ISNUMBER($E45))),"",IF($E45&gt;EDATE($D45,INDEX(AM_LTm,MATCH($C45,AM_Type,0))),"LTCG","STCG"))</f>
        <v/>
      </c>
      <c r="L45" s="71">
        <f>IF($C45="","",$G45-$H45)</f>
        <v/>
      </c>
      <c r="M45" s="71">
        <f>IF(OR($C45="",NOT(ISNUMBER($D45)),NOT(ISNUMBER($E45))),"",IF(AND(INDEX(AM_Index,MATCH($C45,AM_Type,0))=1,$K45="LTCG",$D45&lt;DATE(2024,7,23),Resident="Yes"),$F45*INDEX(CII_Val,MATCH(IF(MONTH($E45)&gt;=4,YEAR($E45),YEAR($E45)-1),CII_Year,0))/INDEX(CII_Val,MATCH(MAX(2001,IF(MONTH($D45)&gt;=4,YEAR($D45),YEAR($D45)-1)),CII_Year,0)),""))</f>
        <v/>
      </c>
      <c r="N45" s="71">
        <f>IF($C45="","",IF(AND(INDEX(AM_Grand,MATCH($C45,AM_Type,0))=1,$K45="LTCG",ISNUMBER($D45),$D45&lt;DATE(2018,2,1),$I45&lt;&gt;""),MAX($F45,MIN($I45,$G45)),$F45))</f>
        <v/>
      </c>
      <c r="O45" s="71">
        <f>IF($C45="","",$L45-$N45)</f>
        <v/>
      </c>
      <c r="P45" s="67">
        <f>IF($C45="","",IF(INDEX(AM_Cat,MATCH($C45,AM_Type,0))="SLABONLY","SLAB",IF($K45="","",IF($K45="STCG",IF(INDEX(AM_Cat,MATCH($C45,AM_Type,0))="EQ","EQ-ST","SLAB"),IF(INDEX(AM_Cat,MATCH($C45,AM_Type,0))="EQ","EQ-LT",IF(INDEX(AM_Cat,MATCH($C45,AM_Type,0))="PROP","PROP-LT","FLAT-LT"))))))</f>
        <v/>
      </c>
      <c r="Q45" s="71">
        <f>IF($C45="","",IF($P45="","",IF($P45="EQ-LT","pooled",IF($P45="EQ-ST",MAX(0,0.2*$O45),IF($P45="PROP-LT",IF($M45="",MAX(0,0.125*$O45),MAX(0,MIN(0.125*$O45,0.2*($L45-$M45)))),IF($P45="FLAT-LT",MAX(0,0.125*$O45),IF($P45="SLAB",MAX(0,Slab_Rate*$O45),"")))))))</f>
        <v/>
      </c>
    </row>
    <row r="46" ht="15" customHeight="1" s="37">
      <c r="A46" s="72">
        <f>IF($C46="","",ROW()-8)</f>
        <v/>
      </c>
      <c r="B46" s="75" t="n"/>
      <c r="C46" s="75" t="n"/>
      <c r="D46" s="76" t="n"/>
      <c r="E46" s="76" t="n"/>
      <c r="F46" s="77" t="n"/>
      <c r="G46" s="77" t="n"/>
      <c r="H46" s="77" t="n"/>
      <c r="I46" s="77" t="n"/>
      <c r="J46" s="72">
        <f>IF(OR($C46="",NOT(ISNUMBER($D46)),NOT(ISNUMBER($E46))),"",DATEDIF($D46,$E46,"m"))</f>
        <v/>
      </c>
      <c r="K46" s="72">
        <f>IF(OR($C46="",NOT(ISNUMBER($D46)),NOT(ISNUMBER($E46))),"",IF($E46&gt;EDATE($D46,INDEX(AM_LTm,MATCH($C46,AM_Type,0))),"LTCG","STCG"))</f>
        <v/>
      </c>
      <c r="L46" s="74">
        <f>IF($C46="","",$G46-$H46)</f>
        <v/>
      </c>
      <c r="M46" s="74">
        <f>IF(OR($C46="",NOT(ISNUMBER($D46)),NOT(ISNUMBER($E46))),"",IF(AND(INDEX(AM_Index,MATCH($C46,AM_Type,0))=1,$K46="LTCG",$D46&lt;DATE(2024,7,23),Resident="Yes"),$F46*INDEX(CII_Val,MATCH(IF(MONTH($E46)&gt;=4,YEAR($E46),YEAR($E46)-1),CII_Year,0))/INDEX(CII_Val,MATCH(MAX(2001,IF(MONTH($D46)&gt;=4,YEAR($D46),YEAR($D46)-1)),CII_Year,0)),""))</f>
        <v/>
      </c>
      <c r="N46" s="74">
        <f>IF($C46="","",IF(AND(INDEX(AM_Grand,MATCH($C46,AM_Type,0))=1,$K46="LTCG",ISNUMBER($D46),$D46&lt;DATE(2018,2,1),$I46&lt;&gt;""),MAX($F46,MIN($I46,$G46)),$F46))</f>
        <v/>
      </c>
      <c r="O46" s="74">
        <f>IF($C46="","",$L46-$N46)</f>
        <v/>
      </c>
      <c r="P46" s="72">
        <f>IF($C46="","",IF(INDEX(AM_Cat,MATCH($C46,AM_Type,0))="SLABONLY","SLAB",IF($K46="","",IF($K46="STCG",IF(INDEX(AM_Cat,MATCH($C46,AM_Type,0))="EQ","EQ-ST","SLAB"),IF(INDEX(AM_Cat,MATCH($C46,AM_Type,0))="EQ","EQ-LT",IF(INDEX(AM_Cat,MATCH($C46,AM_Type,0))="PROP","PROP-LT","FLAT-LT"))))))</f>
        <v/>
      </c>
      <c r="Q46" s="74">
        <f>IF($C46="","",IF($P46="","",IF($P46="EQ-LT","pooled",IF($P46="EQ-ST",MAX(0,0.2*$O46),IF($P46="PROP-LT",IF($M46="",MAX(0,0.125*$O46),MAX(0,MIN(0.125*$O46,0.2*($L46-$M46)))),IF($P46="FLAT-LT",MAX(0,0.125*$O46),IF($P46="SLAB",MAX(0,Slab_Rate*$O46),"")))))))</f>
        <v/>
      </c>
    </row>
    <row r="47" ht="15" customHeight="1" s="37">
      <c r="A47" s="67">
        <f>IF($C47="","",ROW()-8)</f>
        <v/>
      </c>
      <c r="B47" s="75" t="n"/>
      <c r="C47" s="75" t="n"/>
      <c r="D47" s="76" t="n"/>
      <c r="E47" s="76" t="n"/>
      <c r="F47" s="77" t="n"/>
      <c r="G47" s="77" t="n"/>
      <c r="H47" s="77" t="n"/>
      <c r="I47" s="77" t="n"/>
      <c r="J47" s="67">
        <f>IF(OR($C47="",NOT(ISNUMBER($D47)),NOT(ISNUMBER($E47))),"",DATEDIF($D47,$E47,"m"))</f>
        <v/>
      </c>
      <c r="K47" s="67">
        <f>IF(OR($C47="",NOT(ISNUMBER($D47)),NOT(ISNUMBER($E47))),"",IF($E47&gt;EDATE($D47,INDEX(AM_LTm,MATCH($C47,AM_Type,0))),"LTCG","STCG"))</f>
        <v/>
      </c>
      <c r="L47" s="71">
        <f>IF($C47="","",$G47-$H47)</f>
        <v/>
      </c>
      <c r="M47" s="71">
        <f>IF(OR($C47="",NOT(ISNUMBER($D47)),NOT(ISNUMBER($E47))),"",IF(AND(INDEX(AM_Index,MATCH($C47,AM_Type,0))=1,$K47="LTCG",$D47&lt;DATE(2024,7,23),Resident="Yes"),$F47*INDEX(CII_Val,MATCH(IF(MONTH($E47)&gt;=4,YEAR($E47),YEAR($E47)-1),CII_Year,0))/INDEX(CII_Val,MATCH(MAX(2001,IF(MONTH($D47)&gt;=4,YEAR($D47),YEAR($D47)-1)),CII_Year,0)),""))</f>
        <v/>
      </c>
      <c r="N47" s="71">
        <f>IF($C47="","",IF(AND(INDEX(AM_Grand,MATCH($C47,AM_Type,0))=1,$K47="LTCG",ISNUMBER($D47),$D47&lt;DATE(2018,2,1),$I47&lt;&gt;""),MAX($F47,MIN($I47,$G47)),$F47))</f>
        <v/>
      </c>
      <c r="O47" s="71">
        <f>IF($C47="","",$L47-$N47)</f>
        <v/>
      </c>
      <c r="P47" s="67">
        <f>IF($C47="","",IF(INDEX(AM_Cat,MATCH($C47,AM_Type,0))="SLABONLY","SLAB",IF($K47="","",IF($K47="STCG",IF(INDEX(AM_Cat,MATCH($C47,AM_Type,0))="EQ","EQ-ST","SLAB"),IF(INDEX(AM_Cat,MATCH($C47,AM_Type,0))="EQ","EQ-LT",IF(INDEX(AM_Cat,MATCH($C47,AM_Type,0))="PROP","PROP-LT","FLAT-LT"))))))</f>
        <v/>
      </c>
      <c r="Q47" s="71">
        <f>IF($C47="","",IF($P47="","",IF($P47="EQ-LT","pooled",IF($P47="EQ-ST",MAX(0,0.2*$O47),IF($P47="PROP-LT",IF($M47="",MAX(0,0.125*$O47),MAX(0,MIN(0.125*$O47,0.2*($L47-$M47)))),IF($P47="FLAT-LT",MAX(0,0.125*$O47),IF($P47="SLAB",MAX(0,Slab_Rate*$O47),"")))))))</f>
        <v/>
      </c>
    </row>
    <row r="48" ht="15" customHeight="1" s="37">
      <c r="A48" s="72">
        <f>IF($C48="","",ROW()-8)</f>
        <v/>
      </c>
      <c r="B48" s="75" t="n"/>
      <c r="C48" s="75" t="n"/>
      <c r="D48" s="76" t="n"/>
      <c r="E48" s="76" t="n"/>
      <c r="F48" s="77" t="n"/>
      <c r="G48" s="77" t="n"/>
      <c r="H48" s="77" t="n"/>
      <c r="I48" s="77" t="n"/>
      <c r="J48" s="72">
        <f>IF(OR($C48="",NOT(ISNUMBER($D48)),NOT(ISNUMBER($E48))),"",DATEDIF($D48,$E48,"m"))</f>
        <v/>
      </c>
      <c r="K48" s="72">
        <f>IF(OR($C48="",NOT(ISNUMBER($D48)),NOT(ISNUMBER($E48))),"",IF($E48&gt;EDATE($D48,INDEX(AM_LTm,MATCH($C48,AM_Type,0))),"LTCG","STCG"))</f>
        <v/>
      </c>
      <c r="L48" s="74">
        <f>IF($C48="","",$G48-$H48)</f>
        <v/>
      </c>
      <c r="M48" s="74">
        <f>IF(OR($C48="",NOT(ISNUMBER($D48)),NOT(ISNUMBER($E48))),"",IF(AND(INDEX(AM_Index,MATCH($C48,AM_Type,0))=1,$K48="LTCG",$D48&lt;DATE(2024,7,23),Resident="Yes"),$F48*INDEX(CII_Val,MATCH(IF(MONTH($E48)&gt;=4,YEAR($E48),YEAR($E48)-1),CII_Year,0))/INDEX(CII_Val,MATCH(MAX(2001,IF(MONTH($D48)&gt;=4,YEAR($D48),YEAR($D48)-1)),CII_Year,0)),""))</f>
        <v/>
      </c>
      <c r="N48" s="74">
        <f>IF($C48="","",IF(AND(INDEX(AM_Grand,MATCH($C48,AM_Type,0))=1,$K48="LTCG",ISNUMBER($D48),$D48&lt;DATE(2018,2,1),$I48&lt;&gt;""),MAX($F48,MIN($I48,$G48)),$F48))</f>
        <v/>
      </c>
      <c r="O48" s="74">
        <f>IF($C48="","",$L48-$N48)</f>
        <v/>
      </c>
      <c r="P48" s="72">
        <f>IF($C48="","",IF(INDEX(AM_Cat,MATCH($C48,AM_Type,0))="SLABONLY","SLAB",IF($K48="","",IF($K48="STCG",IF(INDEX(AM_Cat,MATCH($C48,AM_Type,0))="EQ","EQ-ST","SLAB"),IF(INDEX(AM_Cat,MATCH($C48,AM_Type,0))="EQ","EQ-LT",IF(INDEX(AM_Cat,MATCH($C48,AM_Type,0))="PROP","PROP-LT","FLAT-LT"))))))</f>
        <v/>
      </c>
      <c r="Q48" s="74">
        <f>IF($C48="","",IF($P48="","",IF($P48="EQ-LT","pooled",IF($P48="EQ-ST",MAX(0,0.2*$O48),IF($P48="PROP-LT",IF($M48="",MAX(0,0.125*$O48),MAX(0,MIN(0.125*$O48,0.2*($L48-$M48)))),IF($P48="FLAT-LT",MAX(0,0.125*$O48),IF($P48="SLAB",MAX(0,Slab_Rate*$O48),"")))))))</f>
        <v/>
      </c>
    </row>
    <row r="49" ht="15" customHeight="1" s="37">
      <c r="A49" s="67">
        <f>IF($C49="","",ROW()-8)</f>
        <v/>
      </c>
      <c r="B49" s="75" t="n"/>
      <c r="C49" s="75" t="n"/>
      <c r="D49" s="76" t="n"/>
      <c r="E49" s="76" t="n"/>
      <c r="F49" s="77" t="n"/>
      <c r="G49" s="77" t="n"/>
      <c r="H49" s="77" t="n"/>
      <c r="I49" s="77" t="n"/>
      <c r="J49" s="67">
        <f>IF(OR($C49="",NOT(ISNUMBER($D49)),NOT(ISNUMBER($E49))),"",DATEDIF($D49,$E49,"m"))</f>
        <v/>
      </c>
      <c r="K49" s="67">
        <f>IF(OR($C49="",NOT(ISNUMBER($D49)),NOT(ISNUMBER($E49))),"",IF($E49&gt;EDATE($D49,INDEX(AM_LTm,MATCH($C49,AM_Type,0))),"LTCG","STCG"))</f>
        <v/>
      </c>
      <c r="L49" s="71">
        <f>IF($C49="","",$G49-$H49)</f>
        <v/>
      </c>
      <c r="M49" s="71">
        <f>IF(OR($C49="",NOT(ISNUMBER($D49)),NOT(ISNUMBER($E49))),"",IF(AND(INDEX(AM_Index,MATCH($C49,AM_Type,0))=1,$K49="LTCG",$D49&lt;DATE(2024,7,23),Resident="Yes"),$F49*INDEX(CII_Val,MATCH(IF(MONTH($E49)&gt;=4,YEAR($E49),YEAR($E49)-1),CII_Year,0))/INDEX(CII_Val,MATCH(MAX(2001,IF(MONTH($D49)&gt;=4,YEAR($D49),YEAR($D49)-1)),CII_Year,0)),""))</f>
        <v/>
      </c>
      <c r="N49" s="71">
        <f>IF($C49="","",IF(AND(INDEX(AM_Grand,MATCH($C49,AM_Type,0))=1,$K49="LTCG",ISNUMBER($D49),$D49&lt;DATE(2018,2,1),$I49&lt;&gt;""),MAX($F49,MIN($I49,$G49)),$F49))</f>
        <v/>
      </c>
      <c r="O49" s="71">
        <f>IF($C49="","",$L49-$N49)</f>
        <v/>
      </c>
      <c r="P49" s="67">
        <f>IF($C49="","",IF(INDEX(AM_Cat,MATCH($C49,AM_Type,0))="SLABONLY","SLAB",IF($K49="","",IF($K49="STCG",IF(INDEX(AM_Cat,MATCH($C49,AM_Type,0))="EQ","EQ-ST","SLAB"),IF(INDEX(AM_Cat,MATCH($C49,AM_Type,0))="EQ","EQ-LT",IF(INDEX(AM_Cat,MATCH($C49,AM_Type,0))="PROP","PROP-LT","FLAT-LT"))))))</f>
        <v/>
      </c>
      <c r="Q49" s="71">
        <f>IF($C49="","",IF($P49="","",IF($P49="EQ-LT","pooled",IF($P49="EQ-ST",MAX(0,0.2*$O49),IF($P49="PROP-LT",IF($M49="",MAX(0,0.125*$O49),MAX(0,MIN(0.125*$O49,0.2*($L49-$M49)))),IF($P49="FLAT-LT",MAX(0,0.125*$O49),IF($P49="SLAB",MAX(0,Slab_Rate*$O49),"")))))))</f>
        <v/>
      </c>
    </row>
    <row r="50" ht="15" customHeight="1" s="37">
      <c r="A50" s="72">
        <f>IF($C50="","",ROW()-8)</f>
        <v/>
      </c>
      <c r="B50" s="75" t="n"/>
      <c r="C50" s="75" t="n"/>
      <c r="D50" s="76" t="n"/>
      <c r="E50" s="76" t="n"/>
      <c r="F50" s="77" t="n"/>
      <c r="G50" s="77" t="n"/>
      <c r="H50" s="77" t="n"/>
      <c r="I50" s="77" t="n"/>
      <c r="J50" s="72">
        <f>IF(OR($C50="",NOT(ISNUMBER($D50)),NOT(ISNUMBER($E50))),"",DATEDIF($D50,$E50,"m"))</f>
        <v/>
      </c>
      <c r="K50" s="72">
        <f>IF(OR($C50="",NOT(ISNUMBER($D50)),NOT(ISNUMBER($E50))),"",IF($E50&gt;EDATE($D50,INDEX(AM_LTm,MATCH($C50,AM_Type,0))),"LTCG","STCG"))</f>
        <v/>
      </c>
      <c r="L50" s="74">
        <f>IF($C50="","",$G50-$H50)</f>
        <v/>
      </c>
      <c r="M50" s="74">
        <f>IF(OR($C50="",NOT(ISNUMBER($D50)),NOT(ISNUMBER($E50))),"",IF(AND(INDEX(AM_Index,MATCH($C50,AM_Type,0))=1,$K50="LTCG",$D50&lt;DATE(2024,7,23),Resident="Yes"),$F50*INDEX(CII_Val,MATCH(IF(MONTH($E50)&gt;=4,YEAR($E50),YEAR($E50)-1),CII_Year,0))/INDEX(CII_Val,MATCH(MAX(2001,IF(MONTH($D50)&gt;=4,YEAR($D50),YEAR($D50)-1)),CII_Year,0)),""))</f>
        <v/>
      </c>
      <c r="N50" s="74">
        <f>IF($C50="","",IF(AND(INDEX(AM_Grand,MATCH($C50,AM_Type,0))=1,$K50="LTCG",ISNUMBER($D50),$D50&lt;DATE(2018,2,1),$I50&lt;&gt;""),MAX($F50,MIN($I50,$G50)),$F50))</f>
        <v/>
      </c>
      <c r="O50" s="74">
        <f>IF($C50="","",$L50-$N50)</f>
        <v/>
      </c>
      <c r="P50" s="72">
        <f>IF($C50="","",IF(INDEX(AM_Cat,MATCH($C50,AM_Type,0))="SLABONLY","SLAB",IF($K50="","",IF($K50="STCG",IF(INDEX(AM_Cat,MATCH($C50,AM_Type,0))="EQ","EQ-ST","SLAB"),IF(INDEX(AM_Cat,MATCH($C50,AM_Type,0))="EQ","EQ-LT",IF(INDEX(AM_Cat,MATCH($C50,AM_Type,0))="PROP","PROP-LT","FLAT-LT"))))))</f>
        <v/>
      </c>
      <c r="Q50" s="74">
        <f>IF($C50="","",IF($P50="","",IF($P50="EQ-LT","pooled",IF($P50="EQ-ST",MAX(0,0.2*$O50),IF($P50="PROP-LT",IF($M50="",MAX(0,0.125*$O50),MAX(0,MIN(0.125*$O50,0.2*($L50-$M50)))),IF($P50="FLAT-LT",MAX(0,0.125*$O50),IF($P50="SLAB",MAX(0,Slab_Rate*$O50),"")))))))</f>
        <v/>
      </c>
    </row>
    <row r="51" ht="15" customHeight="1" s="37">
      <c r="A51" s="67">
        <f>IF($C51="","",ROW()-8)</f>
        <v/>
      </c>
      <c r="B51" s="75" t="n"/>
      <c r="C51" s="75" t="n"/>
      <c r="D51" s="76" t="n"/>
      <c r="E51" s="76" t="n"/>
      <c r="F51" s="77" t="n"/>
      <c r="G51" s="77" t="n"/>
      <c r="H51" s="77" t="n"/>
      <c r="I51" s="77" t="n"/>
      <c r="J51" s="67">
        <f>IF(OR($C51="",NOT(ISNUMBER($D51)),NOT(ISNUMBER($E51))),"",DATEDIF($D51,$E51,"m"))</f>
        <v/>
      </c>
      <c r="K51" s="67">
        <f>IF(OR($C51="",NOT(ISNUMBER($D51)),NOT(ISNUMBER($E51))),"",IF($E51&gt;EDATE($D51,INDEX(AM_LTm,MATCH($C51,AM_Type,0))),"LTCG","STCG"))</f>
        <v/>
      </c>
      <c r="L51" s="71">
        <f>IF($C51="","",$G51-$H51)</f>
        <v/>
      </c>
      <c r="M51" s="71">
        <f>IF(OR($C51="",NOT(ISNUMBER($D51)),NOT(ISNUMBER($E51))),"",IF(AND(INDEX(AM_Index,MATCH($C51,AM_Type,0))=1,$K51="LTCG",$D51&lt;DATE(2024,7,23),Resident="Yes"),$F51*INDEX(CII_Val,MATCH(IF(MONTH($E51)&gt;=4,YEAR($E51),YEAR($E51)-1),CII_Year,0))/INDEX(CII_Val,MATCH(MAX(2001,IF(MONTH($D51)&gt;=4,YEAR($D51),YEAR($D51)-1)),CII_Year,0)),""))</f>
        <v/>
      </c>
      <c r="N51" s="71">
        <f>IF($C51="","",IF(AND(INDEX(AM_Grand,MATCH($C51,AM_Type,0))=1,$K51="LTCG",ISNUMBER($D51),$D51&lt;DATE(2018,2,1),$I51&lt;&gt;""),MAX($F51,MIN($I51,$G51)),$F51))</f>
        <v/>
      </c>
      <c r="O51" s="71">
        <f>IF($C51="","",$L51-$N51)</f>
        <v/>
      </c>
      <c r="P51" s="67">
        <f>IF($C51="","",IF(INDEX(AM_Cat,MATCH($C51,AM_Type,0))="SLABONLY","SLAB",IF($K51="","",IF($K51="STCG",IF(INDEX(AM_Cat,MATCH($C51,AM_Type,0))="EQ","EQ-ST","SLAB"),IF(INDEX(AM_Cat,MATCH($C51,AM_Type,0))="EQ","EQ-LT",IF(INDEX(AM_Cat,MATCH($C51,AM_Type,0))="PROP","PROP-LT","FLAT-LT"))))))</f>
        <v/>
      </c>
      <c r="Q51" s="71">
        <f>IF($C51="","",IF($P51="","",IF($P51="EQ-LT","pooled",IF($P51="EQ-ST",MAX(0,0.2*$O51),IF($P51="PROP-LT",IF($M51="",MAX(0,0.125*$O51),MAX(0,MIN(0.125*$O51,0.2*($L51-$M51)))),IF($P51="FLAT-LT",MAX(0,0.125*$O51),IF($P51="SLAB",MAX(0,Slab_Rate*$O51),"")))))))</f>
        <v/>
      </c>
    </row>
    <row r="52" ht="15" customHeight="1" s="37">
      <c r="A52" s="72">
        <f>IF($C52="","",ROW()-8)</f>
        <v/>
      </c>
      <c r="B52" s="75" t="n"/>
      <c r="C52" s="75" t="n"/>
      <c r="D52" s="76" t="n"/>
      <c r="E52" s="76" t="n"/>
      <c r="F52" s="77" t="n"/>
      <c r="G52" s="77" t="n"/>
      <c r="H52" s="77" t="n"/>
      <c r="I52" s="77" t="n"/>
      <c r="J52" s="72">
        <f>IF(OR($C52="",NOT(ISNUMBER($D52)),NOT(ISNUMBER($E52))),"",DATEDIF($D52,$E52,"m"))</f>
        <v/>
      </c>
      <c r="K52" s="72">
        <f>IF(OR($C52="",NOT(ISNUMBER($D52)),NOT(ISNUMBER($E52))),"",IF($E52&gt;EDATE($D52,INDEX(AM_LTm,MATCH($C52,AM_Type,0))),"LTCG","STCG"))</f>
        <v/>
      </c>
      <c r="L52" s="74">
        <f>IF($C52="","",$G52-$H52)</f>
        <v/>
      </c>
      <c r="M52" s="74">
        <f>IF(OR($C52="",NOT(ISNUMBER($D52)),NOT(ISNUMBER($E52))),"",IF(AND(INDEX(AM_Index,MATCH($C52,AM_Type,0))=1,$K52="LTCG",$D52&lt;DATE(2024,7,23),Resident="Yes"),$F52*INDEX(CII_Val,MATCH(IF(MONTH($E52)&gt;=4,YEAR($E52),YEAR($E52)-1),CII_Year,0))/INDEX(CII_Val,MATCH(MAX(2001,IF(MONTH($D52)&gt;=4,YEAR($D52),YEAR($D52)-1)),CII_Year,0)),""))</f>
        <v/>
      </c>
      <c r="N52" s="74">
        <f>IF($C52="","",IF(AND(INDEX(AM_Grand,MATCH($C52,AM_Type,0))=1,$K52="LTCG",ISNUMBER($D52),$D52&lt;DATE(2018,2,1),$I52&lt;&gt;""),MAX($F52,MIN($I52,$G52)),$F52))</f>
        <v/>
      </c>
      <c r="O52" s="74">
        <f>IF($C52="","",$L52-$N52)</f>
        <v/>
      </c>
      <c r="P52" s="72">
        <f>IF($C52="","",IF(INDEX(AM_Cat,MATCH($C52,AM_Type,0))="SLABONLY","SLAB",IF($K52="","",IF($K52="STCG",IF(INDEX(AM_Cat,MATCH($C52,AM_Type,0))="EQ","EQ-ST","SLAB"),IF(INDEX(AM_Cat,MATCH($C52,AM_Type,0))="EQ","EQ-LT",IF(INDEX(AM_Cat,MATCH($C52,AM_Type,0))="PROP","PROP-LT","FLAT-LT"))))))</f>
        <v/>
      </c>
      <c r="Q52" s="74">
        <f>IF($C52="","",IF($P52="","",IF($P52="EQ-LT","pooled",IF($P52="EQ-ST",MAX(0,0.2*$O52),IF($P52="PROP-LT",IF($M52="",MAX(0,0.125*$O52),MAX(0,MIN(0.125*$O52,0.2*($L52-$M52)))),IF($P52="FLAT-LT",MAX(0,0.125*$O52),IF($P52="SLAB",MAX(0,Slab_Rate*$O52),"")))))))</f>
        <v/>
      </c>
    </row>
    <row r="53" ht="15" customHeight="1" s="37">
      <c r="A53" s="67">
        <f>IF($C53="","",ROW()-8)</f>
        <v/>
      </c>
      <c r="B53" s="75" t="n"/>
      <c r="C53" s="75" t="n"/>
      <c r="D53" s="76" t="n"/>
      <c r="E53" s="76" t="n"/>
      <c r="F53" s="77" t="n"/>
      <c r="G53" s="77" t="n"/>
      <c r="H53" s="77" t="n"/>
      <c r="I53" s="77" t="n"/>
      <c r="J53" s="67">
        <f>IF(OR($C53="",NOT(ISNUMBER($D53)),NOT(ISNUMBER($E53))),"",DATEDIF($D53,$E53,"m"))</f>
        <v/>
      </c>
      <c r="K53" s="67">
        <f>IF(OR($C53="",NOT(ISNUMBER($D53)),NOT(ISNUMBER($E53))),"",IF($E53&gt;EDATE($D53,INDEX(AM_LTm,MATCH($C53,AM_Type,0))),"LTCG","STCG"))</f>
        <v/>
      </c>
      <c r="L53" s="71">
        <f>IF($C53="","",$G53-$H53)</f>
        <v/>
      </c>
      <c r="M53" s="71">
        <f>IF(OR($C53="",NOT(ISNUMBER($D53)),NOT(ISNUMBER($E53))),"",IF(AND(INDEX(AM_Index,MATCH($C53,AM_Type,0))=1,$K53="LTCG",$D53&lt;DATE(2024,7,23),Resident="Yes"),$F53*INDEX(CII_Val,MATCH(IF(MONTH($E53)&gt;=4,YEAR($E53),YEAR($E53)-1),CII_Year,0))/INDEX(CII_Val,MATCH(MAX(2001,IF(MONTH($D53)&gt;=4,YEAR($D53),YEAR($D53)-1)),CII_Year,0)),""))</f>
        <v/>
      </c>
      <c r="N53" s="71">
        <f>IF($C53="","",IF(AND(INDEX(AM_Grand,MATCH($C53,AM_Type,0))=1,$K53="LTCG",ISNUMBER($D53),$D53&lt;DATE(2018,2,1),$I53&lt;&gt;""),MAX($F53,MIN($I53,$G53)),$F53))</f>
        <v/>
      </c>
      <c r="O53" s="71">
        <f>IF($C53="","",$L53-$N53)</f>
        <v/>
      </c>
      <c r="P53" s="67">
        <f>IF($C53="","",IF(INDEX(AM_Cat,MATCH($C53,AM_Type,0))="SLABONLY","SLAB",IF($K53="","",IF($K53="STCG",IF(INDEX(AM_Cat,MATCH($C53,AM_Type,0))="EQ","EQ-ST","SLAB"),IF(INDEX(AM_Cat,MATCH($C53,AM_Type,0))="EQ","EQ-LT",IF(INDEX(AM_Cat,MATCH($C53,AM_Type,0))="PROP","PROP-LT","FLAT-LT"))))))</f>
        <v/>
      </c>
      <c r="Q53" s="71">
        <f>IF($C53="","",IF($P53="","",IF($P53="EQ-LT","pooled",IF($P53="EQ-ST",MAX(0,0.2*$O53),IF($P53="PROP-LT",IF($M53="",MAX(0,0.125*$O53),MAX(0,MIN(0.125*$O53,0.2*($L53-$M53)))),IF($P53="FLAT-LT",MAX(0,0.125*$O53),IF($P53="SLAB",MAX(0,Slab_Rate*$O53),"")))))))</f>
        <v/>
      </c>
    </row>
    <row r="54" ht="15" customHeight="1" s="37">
      <c r="A54" s="72">
        <f>IF($C54="","",ROW()-8)</f>
        <v/>
      </c>
      <c r="B54" s="75" t="n"/>
      <c r="C54" s="75" t="n"/>
      <c r="D54" s="76" t="n"/>
      <c r="E54" s="76" t="n"/>
      <c r="F54" s="77" t="n"/>
      <c r="G54" s="77" t="n"/>
      <c r="H54" s="77" t="n"/>
      <c r="I54" s="77" t="n"/>
      <c r="J54" s="72">
        <f>IF(OR($C54="",NOT(ISNUMBER($D54)),NOT(ISNUMBER($E54))),"",DATEDIF($D54,$E54,"m"))</f>
        <v/>
      </c>
      <c r="K54" s="72">
        <f>IF(OR($C54="",NOT(ISNUMBER($D54)),NOT(ISNUMBER($E54))),"",IF($E54&gt;EDATE($D54,INDEX(AM_LTm,MATCH($C54,AM_Type,0))),"LTCG","STCG"))</f>
        <v/>
      </c>
      <c r="L54" s="74">
        <f>IF($C54="","",$G54-$H54)</f>
        <v/>
      </c>
      <c r="M54" s="74">
        <f>IF(OR($C54="",NOT(ISNUMBER($D54)),NOT(ISNUMBER($E54))),"",IF(AND(INDEX(AM_Index,MATCH($C54,AM_Type,0))=1,$K54="LTCG",$D54&lt;DATE(2024,7,23),Resident="Yes"),$F54*INDEX(CII_Val,MATCH(IF(MONTH($E54)&gt;=4,YEAR($E54),YEAR($E54)-1),CII_Year,0))/INDEX(CII_Val,MATCH(MAX(2001,IF(MONTH($D54)&gt;=4,YEAR($D54),YEAR($D54)-1)),CII_Year,0)),""))</f>
        <v/>
      </c>
      <c r="N54" s="74">
        <f>IF($C54="","",IF(AND(INDEX(AM_Grand,MATCH($C54,AM_Type,0))=1,$K54="LTCG",ISNUMBER($D54),$D54&lt;DATE(2018,2,1),$I54&lt;&gt;""),MAX($F54,MIN($I54,$G54)),$F54))</f>
        <v/>
      </c>
      <c r="O54" s="74">
        <f>IF($C54="","",$L54-$N54)</f>
        <v/>
      </c>
      <c r="P54" s="72">
        <f>IF($C54="","",IF(INDEX(AM_Cat,MATCH($C54,AM_Type,0))="SLABONLY","SLAB",IF($K54="","",IF($K54="STCG",IF(INDEX(AM_Cat,MATCH($C54,AM_Type,0))="EQ","EQ-ST","SLAB"),IF(INDEX(AM_Cat,MATCH($C54,AM_Type,0))="EQ","EQ-LT",IF(INDEX(AM_Cat,MATCH($C54,AM_Type,0))="PROP","PROP-LT","FLAT-LT"))))))</f>
        <v/>
      </c>
      <c r="Q54" s="74">
        <f>IF($C54="","",IF($P54="","",IF($P54="EQ-LT","pooled",IF($P54="EQ-ST",MAX(0,0.2*$O54),IF($P54="PROP-LT",IF($M54="",MAX(0,0.125*$O54),MAX(0,MIN(0.125*$O54,0.2*($L54-$M54)))),IF($P54="FLAT-LT",MAX(0,0.125*$O54),IF($P54="SLAB",MAX(0,Slab_Rate*$O54),"")))))))</f>
        <v/>
      </c>
    </row>
    <row r="55" ht="15" customHeight="1" s="37">
      <c r="A55" s="67">
        <f>IF($C55="","",ROW()-8)</f>
        <v/>
      </c>
      <c r="B55" s="75" t="n"/>
      <c r="C55" s="75" t="n"/>
      <c r="D55" s="76" t="n"/>
      <c r="E55" s="76" t="n"/>
      <c r="F55" s="77" t="n"/>
      <c r="G55" s="77" t="n"/>
      <c r="H55" s="77" t="n"/>
      <c r="I55" s="77" t="n"/>
      <c r="J55" s="67">
        <f>IF(OR($C55="",NOT(ISNUMBER($D55)),NOT(ISNUMBER($E55))),"",DATEDIF($D55,$E55,"m"))</f>
        <v/>
      </c>
      <c r="K55" s="67">
        <f>IF(OR($C55="",NOT(ISNUMBER($D55)),NOT(ISNUMBER($E55))),"",IF($E55&gt;EDATE($D55,INDEX(AM_LTm,MATCH($C55,AM_Type,0))),"LTCG","STCG"))</f>
        <v/>
      </c>
      <c r="L55" s="71">
        <f>IF($C55="","",$G55-$H55)</f>
        <v/>
      </c>
      <c r="M55" s="71">
        <f>IF(OR($C55="",NOT(ISNUMBER($D55)),NOT(ISNUMBER($E55))),"",IF(AND(INDEX(AM_Index,MATCH($C55,AM_Type,0))=1,$K55="LTCG",$D55&lt;DATE(2024,7,23),Resident="Yes"),$F55*INDEX(CII_Val,MATCH(IF(MONTH($E55)&gt;=4,YEAR($E55),YEAR($E55)-1),CII_Year,0))/INDEX(CII_Val,MATCH(MAX(2001,IF(MONTH($D55)&gt;=4,YEAR($D55),YEAR($D55)-1)),CII_Year,0)),""))</f>
        <v/>
      </c>
      <c r="N55" s="71">
        <f>IF($C55="","",IF(AND(INDEX(AM_Grand,MATCH($C55,AM_Type,0))=1,$K55="LTCG",ISNUMBER($D55),$D55&lt;DATE(2018,2,1),$I55&lt;&gt;""),MAX($F55,MIN($I55,$G55)),$F55))</f>
        <v/>
      </c>
      <c r="O55" s="71">
        <f>IF($C55="","",$L55-$N55)</f>
        <v/>
      </c>
      <c r="P55" s="67">
        <f>IF($C55="","",IF(INDEX(AM_Cat,MATCH($C55,AM_Type,0))="SLABONLY","SLAB",IF($K55="","",IF($K55="STCG",IF(INDEX(AM_Cat,MATCH($C55,AM_Type,0))="EQ","EQ-ST","SLAB"),IF(INDEX(AM_Cat,MATCH($C55,AM_Type,0))="EQ","EQ-LT",IF(INDEX(AM_Cat,MATCH($C55,AM_Type,0))="PROP","PROP-LT","FLAT-LT"))))))</f>
        <v/>
      </c>
      <c r="Q55" s="71">
        <f>IF($C55="","",IF($P55="","",IF($P55="EQ-LT","pooled",IF($P55="EQ-ST",MAX(0,0.2*$O55),IF($P55="PROP-LT",IF($M55="",MAX(0,0.125*$O55),MAX(0,MIN(0.125*$O55,0.2*($L55-$M55)))),IF($P55="FLAT-LT",MAX(0,0.125*$O55),IF($P55="SLAB",MAX(0,Slab_Rate*$O55),"")))))))</f>
        <v/>
      </c>
    </row>
    <row r="56" ht="15" customHeight="1" s="37">
      <c r="A56" s="72">
        <f>IF($C56="","",ROW()-8)</f>
        <v/>
      </c>
      <c r="B56" s="75" t="n"/>
      <c r="C56" s="75" t="n"/>
      <c r="D56" s="76" t="n"/>
      <c r="E56" s="76" t="n"/>
      <c r="F56" s="77" t="n"/>
      <c r="G56" s="77" t="n"/>
      <c r="H56" s="77" t="n"/>
      <c r="I56" s="77" t="n"/>
      <c r="J56" s="72">
        <f>IF(OR($C56="",NOT(ISNUMBER($D56)),NOT(ISNUMBER($E56))),"",DATEDIF($D56,$E56,"m"))</f>
        <v/>
      </c>
      <c r="K56" s="72">
        <f>IF(OR($C56="",NOT(ISNUMBER($D56)),NOT(ISNUMBER($E56))),"",IF($E56&gt;EDATE($D56,INDEX(AM_LTm,MATCH($C56,AM_Type,0))),"LTCG","STCG"))</f>
        <v/>
      </c>
      <c r="L56" s="74">
        <f>IF($C56="","",$G56-$H56)</f>
        <v/>
      </c>
      <c r="M56" s="74">
        <f>IF(OR($C56="",NOT(ISNUMBER($D56)),NOT(ISNUMBER($E56))),"",IF(AND(INDEX(AM_Index,MATCH($C56,AM_Type,0))=1,$K56="LTCG",$D56&lt;DATE(2024,7,23),Resident="Yes"),$F56*INDEX(CII_Val,MATCH(IF(MONTH($E56)&gt;=4,YEAR($E56),YEAR($E56)-1),CII_Year,0))/INDEX(CII_Val,MATCH(MAX(2001,IF(MONTH($D56)&gt;=4,YEAR($D56),YEAR($D56)-1)),CII_Year,0)),""))</f>
        <v/>
      </c>
      <c r="N56" s="74">
        <f>IF($C56="","",IF(AND(INDEX(AM_Grand,MATCH($C56,AM_Type,0))=1,$K56="LTCG",ISNUMBER($D56),$D56&lt;DATE(2018,2,1),$I56&lt;&gt;""),MAX($F56,MIN($I56,$G56)),$F56))</f>
        <v/>
      </c>
      <c r="O56" s="74">
        <f>IF($C56="","",$L56-$N56)</f>
        <v/>
      </c>
      <c r="P56" s="72">
        <f>IF($C56="","",IF(INDEX(AM_Cat,MATCH($C56,AM_Type,0))="SLABONLY","SLAB",IF($K56="","",IF($K56="STCG",IF(INDEX(AM_Cat,MATCH($C56,AM_Type,0))="EQ","EQ-ST","SLAB"),IF(INDEX(AM_Cat,MATCH($C56,AM_Type,0))="EQ","EQ-LT",IF(INDEX(AM_Cat,MATCH($C56,AM_Type,0))="PROP","PROP-LT","FLAT-LT"))))))</f>
        <v/>
      </c>
      <c r="Q56" s="74">
        <f>IF($C56="","",IF($P56="","",IF($P56="EQ-LT","pooled",IF($P56="EQ-ST",MAX(0,0.2*$O56),IF($P56="PROP-LT",IF($M56="",MAX(0,0.125*$O56),MAX(0,MIN(0.125*$O56,0.2*($L56-$M56)))),IF($P56="FLAT-LT",MAX(0,0.125*$O56),IF($P56="SLAB",MAX(0,Slab_Rate*$O56),"")))))))</f>
        <v/>
      </c>
    </row>
    <row r="57" ht="15" customHeight="1" s="37">
      <c r="A57" s="67">
        <f>IF($C57="","",ROW()-8)</f>
        <v/>
      </c>
      <c r="B57" s="75" t="n"/>
      <c r="C57" s="75" t="n"/>
      <c r="D57" s="76" t="n"/>
      <c r="E57" s="76" t="n"/>
      <c r="F57" s="77" t="n"/>
      <c r="G57" s="77" t="n"/>
      <c r="H57" s="77" t="n"/>
      <c r="I57" s="77" t="n"/>
      <c r="J57" s="67">
        <f>IF(OR($C57="",NOT(ISNUMBER($D57)),NOT(ISNUMBER($E57))),"",DATEDIF($D57,$E57,"m"))</f>
        <v/>
      </c>
      <c r="K57" s="67">
        <f>IF(OR($C57="",NOT(ISNUMBER($D57)),NOT(ISNUMBER($E57))),"",IF($E57&gt;EDATE($D57,INDEX(AM_LTm,MATCH($C57,AM_Type,0))),"LTCG","STCG"))</f>
        <v/>
      </c>
      <c r="L57" s="71">
        <f>IF($C57="","",$G57-$H57)</f>
        <v/>
      </c>
      <c r="M57" s="71">
        <f>IF(OR($C57="",NOT(ISNUMBER($D57)),NOT(ISNUMBER($E57))),"",IF(AND(INDEX(AM_Index,MATCH($C57,AM_Type,0))=1,$K57="LTCG",$D57&lt;DATE(2024,7,23),Resident="Yes"),$F57*INDEX(CII_Val,MATCH(IF(MONTH($E57)&gt;=4,YEAR($E57),YEAR($E57)-1),CII_Year,0))/INDEX(CII_Val,MATCH(MAX(2001,IF(MONTH($D57)&gt;=4,YEAR($D57),YEAR($D57)-1)),CII_Year,0)),""))</f>
        <v/>
      </c>
      <c r="N57" s="71">
        <f>IF($C57="","",IF(AND(INDEX(AM_Grand,MATCH($C57,AM_Type,0))=1,$K57="LTCG",ISNUMBER($D57),$D57&lt;DATE(2018,2,1),$I57&lt;&gt;""),MAX($F57,MIN($I57,$G57)),$F57))</f>
        <v/>
      </c>
      <c r="O57" s="71">
        <f>IF($C57="","",$L57-$N57)</f>
        <v/>
      </c>
      <c r="P57" s="67">
        <f>IF($C57="","",IF(INDEX(AM_Cat,MATCH($C57,AM_Type,0))="SLABONLY","SLAB",IF($K57="","",IF($K57="STCG",IF(INDEX(AM_Cat,MATCH($C57,AM_Type,0))="EQ","EQ-ST","SLAB"),IF(INDEX(AM_Cat,MATCH($C57,AM_Type,0))="EQ","EQ-LT",IF(INDEX(AM_Cat,MATCH($C57,AM_Type,0))="PROP","PROP-LT","FLAT-LT"))))))</f>
        <v/>
      </c>
      <c r="Q57" s="71">
        <f>IF($C57="","",IF($P57="","",IF($P57="EQ-LT","pooled",IF($P57="EQ-ST",MAX(0,0.2*$O57),IF($P57="PROP-LT",IF($M57="",MAX(0,0.125*$O57),MAX(0,MIN(0.125*$O57,0.2*($L57-$M57)))),IF($P57="FLAT-LT",MAX(0,0.125*$O57),IF($P57="SLAB",MAX(0,Slab_Rate*$O57),"")))))))</f>
        <v/>
      </c>
    </row>
    <row r="58" ht="15" customHeight="1" s="37">
      <c r="A58" s="72">
        <f>IF($C58="","",ROW()-8)</f>
        <v/>
      </c>
      <c r="B58" s="75" t="n"/>
      <c r="C58" s="75" t="n"/>
      <c r="D58" s="76" t="n"/>
      <c r="E58" s="76" t="n"/>
      <c r="F58" s="77" t="n"/>
      <c r="G58" s="77" t="n"/>
      <c r="H58" s="77" t="n"/>
      <c r="I58" s="77" t="n"/>
      <c r="J58" s="72">
        <f>IF(OR($C58="",NOT(ISNUMBER($D58)),NOT(ISNUMBER($E58))),"",DATEDIF($D58,$E58,"m"))</f>
        <v/>
      </c>
      <c r="K58" s="72">
        <f>IF(OR($C58="",NOT(ISNUMBER($D58)),NOT(ISNUMBER($E58))),"",IF($E58&gt;EDATE($D58,INDEX(AM_LTm,MATCH($C58,AM_Type,0))),"LTCG","STCG"))</f>
        <v/>
      </c>
      <c r="L58" s="74">
        <f>IF($C58="","",$G58-$H58)</f>
        <v/>
      </c>
      <c r="M58" s="74">
        <f>IF(OR($C58="",NOT(ISNUMBER($D58)),NOT(ISNUMBER($E58))),"",IF(AND(INDEX(AM_Index,MATCH($C58,AM_Type,0))=1,$K58="LTCG",$D58&lt;DATE(2024,7,23),Resident="Yes"),$F58*INDEX(CII_Val,MATCH(IF(MONTH($E58)&gt;=4,YEAR($E58),YEAR($E58)-1),CII_Year,0))/INDEX(CII_Val,MATCH(MAX(2001,IF(MONTH($D58)&gt;=4,YEAR($D58),YEAR($D58)-1)),CII_Year,0)),""))</f>
        <v/>
      </c>
      <c r="N58" s="74">
        <f>IF($C58="","",IF(AND(INDEX(AM_Grand,MATCH($C58,AM_Type,0))=1,$K58="LTCG",ISNUMBER($D58),$D58&lt;DATE(2018,2,1),$I58&lt;&gt;""),MAX($F58,MIN($I58,$G58)),$F58))</f>
        <v/>
      </c>
      <c r="O58" s="74">
        <f>IF($C58="","",$L58-$N58)</f>
        <v/>
      </c>
      <c r="P58" s="72">
        <f>IF($C58="","",IF(INDEX(AM_Cat,MATCH($C58,AM_Type,0))="SLABONLY","SLAB",IF($K58="","",IF($K58="STCG",IF(INDEX(AM_Cat,MATCH($C58,AM_Type,0))="EQ","EQ-ST","SLAB"),IF(INDEX(AM_Cat,MATCH($C58,AM_Type,0))="EQ","EQ-LT",IF(INDEX(AM_Cat,MATCH($C58,AM_Type,0))="PROP","PROP-LT","FLAT-LT"))))))</f>
        <v/>
      </c>
      <c r="Q58" s="74">
        <f>IF($C58="","",IF($P58="","",IF($P58="EQ-LT","pooled",IF($P58="EQ-ST",MAX(0,0.2*$O58),IF($P58="PROP-LT",IF($M58="",MAX(0,0.125*$O58),MAX(0,MIN(0.125*$O58,0.2*($L58-$M58)))),IF($P58="FLAT-LT",MAX(0,0.125*$O58),IF($P58="SLAB",MAX(0,Slab_Rate*$O58),"")))))))</f>
        <v/>
      </c>
    </row>
    <row r="59" ht="15" customHeight="1" s="37">
      <c r="A59" s="67">
        <f>IF($C59="","",ROW()-8)</f>
        <v/>
      </c>
      <c r="B59" s="75" t="n"/>
      <c r="C59" s="75" t="n"/>
      <c r="D59" s="76" t="n"/>
      <c r="E59" s="76" t="n"/>
      <c r="F59" s="77" t="n"/>
      <c r="G59" s="77" t="n"/>
      <c r="H59" s="77" t="n"/>
      <c r="I59" s="77" t="n"/>
      <c r="J59" s="67">
        <f>IF(OR($C59="",NOT(ISNUMBER($D59)),NOT(ISNUMBER($E59))),"",DATEDIF($D59,$E59,"m"))</f>
        <v/>
      </c>
      <c r="K59" s="67">
        <f>IF(OR($C59="",NOT(ISNUMBER($D59)),NOT(ISNUMBER($E59))),"",IF($E59&gt;EDATE($D59,INDEX(AM_LTm,MATCH($C59,AM_Type,0))),"LTCG","STCG"))</f>
        <v/>
      </c>
      <c r="L59" s="71">
        <f>IF($C59="","",$G59-$H59)</f>
        <v/>
      </c>
      <c r="M59" s="71">
        <f>IF(OR($C59="",NOT(ISNUMBER($D59)),NOT(ISNUMBER($E59))),"",IF(AND(INDEX(AM_Index,MATCH($C59,AM_Type,0))=1,$K59="LTCG",$D59&lt;DATE(2024,7,23),Resident="Yes"),$F59*INDEX(CII_Val,MATCH(IF(MONTH($E59)&gt;=4,YEAR($E59),YEAR($E59)-1),CII_Year,0))/INDEX(CII_Val,MATCH(MAX(2001,IF(MONTH($D59)&gt;=4,YEAR($D59),YEAR($D59)-1)),CII_Year,0)),""))</f>
        <v/>
      </c>
      <c r="N59" s="71">
        <f>IF($C59="","",IF(AND(INDEX(AM_Grand,MATCH($C59,AM_Type,0))=1,$K59="LTCG",ISNUMBER($D59),$D59&lt;DATE(2018,2,1),$I59&lt;&gt;""),MAX($F59,MIN($I59,$G59)),$F59))</f>
        <v/>
      </c>
      <c r="O59" s="71">
        <f>IF($C59="","",$L59-$N59)</f>
        <v/>
      </c>
      <c r="P59" s="67">
        <f>IF($C59="","",IF(INDEX(AM_Cat,MATCH($C59,AM_Type,0))="SLABONLY","SLAB",IF($K59="","",IF($K59="STCG",IF(INDEX(AM_Cat,MATCH($C59,AM_Type,0))="EQ","EQ-ST","SLAB"),IF(INDEX(AM_Cat,MATCH($C59,AM_Type,0))="EQ","EQ-LT",IF(INDEX(AM_Cat,MATCH($C59,AM_Type,0))="PROP","PROP-LT","FLAT-LT"))))))</f>
        <v/>
      </c>
      <c r="Q59" s="71">
        <f>IF($C59="","",IF($P59="","",IF($P59="EQ-LT","pooled",IF($P59="EQ-ST",MAX(0,0.2*$O59),IF($P59="PROP-LT",IF($M59="",MAX(0,0.125*$O59),MAX(0,MIN(0.125*$O59,0.2*($L59-$M59)))),IF($P59="FLAT-LT",MAX(0,0.125*$O59),IF($P59="SLAB",MAX(0,Slab_Rate*$O59),"")))))))</f>
        <v/>
      </c>
    </row>
    <row r="60" ht="15" customHeight="1" s="37">
      <c r="A60" s="72">
        <f>IF($C60="","",ROW()-8)</f>
        <v/>
      </c>
      <c r="B60" s="75" t="n"/>
      <c r="C60" s="75" t="n"/>
      <c r="D60" s="76" t="n"/>
      <c r="E60" s="76" t="n"/>
      <c r="F60" s="77" t="n"/>
      <c r="G60" s="77" t="n"/>
      <c r="H60" s="77" t="n"/>
      <c r="I60" s="77" t="n"/>
      <c r="J60" s="72">
        <f>IF(OR($C60="",NOT(ISNUMBER($D60)),NOT(ISNUMBER($E60))),"",DATEDIF($D60,$E60,"m"))</f>
        <v/>
      </c>
      <c r="K60" s="72">
        <f>IF(OR($C60="",NOT(ISNUMBER($D60)),NOT(ISNUMBER($E60))),"",IF($E60&gt;EDATE($D60,INDEX(AM_LTm,MATCH($C60,AM_Type,0))),"LTCG","STCG"))</f>
        <v/>
      </c>
      <c r="L60" s="74">
        <f>IF($C60="","",$G60-$H60)</f>
        <v/>
      </c>
      <c r="M60" s="74">
        <f>IF(OR($C60="",NOT(ISNUMBER($D60)),NOT(ISNUMBER($E60))),"",IF(AND(INDEX(AM_Index,MATCH($C60,AM_Type,0))=1,$K60="LTCG",$D60&lt;DATE(2024,7,23),Resident="Yes"),$F60*INDEX(CII_Val,MATCH(IF(MONTH($E60)&gt;=4,YEAR($E60),YEAR($E60)-1),CII_Year,0))/INDEX(CII_Val,MATCH(MAX(2001,IF(MONTH($D60)&gt;=4,YEAR($D60),YEAR($D60)-1)),CII_Year,0)),""))</f>
        <v/>
      </c>
      <c r="N60" s="74">
        <f>IF($C60="","",IF(AND(INDEX(AM_Grand,MATCH($C60,AM_Type,0))=1,$K60="LTCG",ISNUMBER($D60),$D60&lt;DATE(2018,2,1),$I60&lt;&gt;""),MAX($F60,MIN($I60,$G60)),$F60))</f>
        <v/>
      </c>
      <c r="O60" s="74">
        <f>IF($C60="","",$L60-$N60)</f>
        <v/>
      </c>
      <c r="P60" s="72">
        <f>IF($C60="","",IF(INDEX(AM_Cat,MATCH($C60,AM_Type,0))="SLABONLY","SLAB",IF($K60="","",IF($K60="STCG",IF(INDEX(AM_Cat,MATCH($C60,AM_Type,0))="EQ","EQ-ST","SLAB"),IF(INDEX(AM_Cat,MATCH($C60,AM_Type,0))="EQ","EQ-LT",IF(INDEX(AM_Cat,MATCH($C60,AM_Type,0))="PROP","PROP-LT","FLAT-LT"))))))</f>
        <v/>
      </c>
      <c r="Q60" s="74">
        <f>IF($C60="","",IF($P60="","",IF($P60="EQ-LT","pooled",IF($P60="EQ-ST",MAX(0,0.2*$O60),IF($P60="PROP-LT",IF($M60="",MAX(0,0.125*$O60),MAX(0,MIN(0.125*$O60,0.2*($L60-$M60)))),IF($P60="FLAT-LT",MAX(0,0.125*$O60),IF($P60="SLAB",MAX(0,Slab_Rate*$O60),"")))))))</f>
        <v/>
      </c>
    </row>
    <row r="61" ht="15" customHeight="1" s="37">
      <c r="A61" s="67">
        <f>IF($C61="","",ROW()-8)</f>
        <v/>
      </c>
      <c r="B61" s="75" t="n"/>
      <c r="C61" s="75" t="n"/>
      <c r="D61" s="76" t="n"/>
      <c r="E61" s="76" t="n"/>
      <c r="F61" s="77" t="n"/>
      <c r="G61" s="77" t="n"/>
      <c r="H61" s="77" t="n"/>
      <c r="I61" s="77" t="n"/>
      <c r="J61" s="67">
        <f>IF(OR($C61="",NOT(ISNUMBER($D61)),NOT(ISNUMBER($E61))),"",DATEDIF($D61,$E61,"m"))</f>
        <v/>
      </c>
      <c r="K61" s="67">
        <f>IF(OR($C61="",NOT(ISNUMBER($D61)),NOT(ISNUMBER($E61))),"",IF($E61&gt;EDATE($D61,INDEX(AM_LTm,MATCH($C61,AM_Type,0))),"LTCG","STCG"))</f>
        <v/>
      </c>
      <c r="L61" s="71">
        <f>IF($C61="","",$G61-$H61)</f>
        <v/>
      </c>
      <c r="M61" s="71">
        <f>IF(OR($C61="",NOT(ISNUMBER($D61)),NOT(ISNUMBER($E61))),"",IF(AND(INDEX(AM_Index,MATCH($C61,AM_Type,0))=1,$K61="LTCG",$D61&lt;DATE(2024,7,23),Resident="Yes"),$F61*INDEX(CII_Val,MATCH(IF(MONTH($E61)&gt;=4,YEAR($E61),YEAR($E61)-1),CII_Year,0))/INDEX(CII_Val,MATCH(MAX(2001,IF(MONTH($D61)&gt;=4,YEAR($D61),YEAR($D61)-1)),CII_Year,0)),""))</f>
        <v/>
      </c>
      <c r="N61" s="71">
        <f>IF($C61="","",IF(AND(INDEX(AM_Grand,MATCH($C61,AM_Type,0))=1,$K61="LTCG",ISNUMBER($D61),$D61&lt;DATE(2018,2,1),$I61&lt;&gt;""),MAX($F61,MIN($I61,$G61)),$F61))</f>
        <v/>
      </c>
      <c r="O61" s="71">
        <f>IF($C61="","",$L61-$N61)</f>
        <v/>
      </c>
      <c r="P61" s="67">
        <f>IF($C61="","",IF(INDEX(AM_Cat,MATCH($C61,AM_Type,0))="SLABONLY","SLAB",IF($K61="","",IF($K61="STCG",IF(INDEX(AM_Cat,MATCH($C61,AM_Type,0))="EQ","EQ-ST","SLAB"),IF(INDEX(AM_Cat,MATCH($C61,AM_Type,0))="EQ","EQ-LT",IF(INDEX(AM_Cat,MATCH($C61,AM_Type,0))="PROP","PROP-LT","FLAT-LT"))))))</f>
        <v/>
      </c>
      <c r="Q61" s="71">
        <f>IF($C61="","",IF($P61="","",IF($P61="EQ-LT","pooled",IF($P61="EQ-ST",MAX(0,0.2*$O61),IF($P61="PROP-LT",IF($M61="",MAX(0,0.125*$O61),MAX(0,MIN(0.125*$O61,0.2*($L61-$M61)))),IF($P61="FLAT-LT",MAX(0,0.125*$O61),IF($P61="SLAB",MAX(0,Slab_Rate*$O61),"")))))))</f>
        <v/>
      </c>
    </row>
    <row r="62" ht="15" customHeight="1" s="37">
      <c r="A62" s="72">
        <f>IF($C62="","",ROW()-8)</f>
        <v/>
      </c>
      <c r="B62" s="75" t="n"/>
      <c r="C62" s="75" t="n"/>
      <c r="D62" s="76" t="n"/>
      <c r="E62" s="76" t="n"/>
      <c r="F62" s="77" t="n"/>
      <c r="G62" s="77" t="n"/>
      <c r="H62" s="77" t="n"/>
      <c r="I62" s="77" t="n"/>
      <c r="J62" s="72">
        <f>IF(OR($C62="",NOT(ISNUMBER($D62)),NOT(ISNUMBER($E62))),"",DATEDIF($D62,$E62,"m"))</f>
        <v/>
      </c>
      <c r="K62" s="72">
        <f>IF(OR($C62="",NOT(ISNUMBER($D62)),NOT(ISNUMBER($E62))),"",IF($E62&gt;EDATE($D62,INDEX(AM_LTm,MATCH($C62,AM_Type,0))),"LTCG","STCG"))</f>
        <v/>
      </c>
      <c r="L62" s="74">
        <f>IF($C62="","",$G62-$H62)</f>
        <v/>
      </c>
      <c r="M62" s="74">
        <f>IF(OR($C62="",NOT(ISNUMBER($D62)),NOT(ISNUMBER($E62))),"",IF(AND(INDEX(AM_Index,MATCH($C62,AM_Type,0))=1,$K62="LTCG",$D62&lt;DATE(2024,7,23),Resident="Yes"),$F62*INDEX(CII_Val,MATCH(IF(MONTH($E62)&gt;=4,YEAR($E62),YEAR($E62)-1),CII_Year,0))/INDEX(CII_Val,MATCH(MAX(2001,IF(MONTH($D62)&gt;=4,YEAR($D62),YEAR($D62)-1)),CII_Year,0)),""))</f>
        <v/>
      </c>
      <c r="N62" s="74">
        <f>IF($C62="","",IF(AND(INDEX(AM_Grand,MATCH($C62,AM_Type,0))=1,$K62="LTCG",ISNUMBER($D62),$D62&lt;DATE(2018,2,1),$I62&lt;&gt;""),MAX($F62,MIN($I62,$G62)),$F62))</f>
        <v/>
      </c>
      <c r="O62" s="74">
        <f>IF($C62="","",$L62-$N62)</f>
        <v/>
      </c>
      <c r="P62" s="72">
        <f>IF($C62="","",IF(INDEX(AM_Cat,MATCH($C62,AM_Type,0))="SLABONLY","SLAB",IF($K62="","",IF($K62="STCG",IF(INDEX(AM_Cat,MATCH($C62,AM_Type,0))="EQ","EQ-ST","SLAB"),IF(INDEX(AM_Cat,MATCH($C62,AM_Type,0))="EQ","EQ-LT",IF(INDEX(AM_Cat,MATCH($C62,AM_Type,0))="PROP","PROP-LT","FLAT-LT"))))))</f>
        <v/>
      </c>
      <c r="Q62" s="74">
        <f>IF($C62="","",IF($P62="","",IF($P62="EQ-LT","pooled",IF($P62="EQ-ST",MAX(0,0.2*$O62),IF($P62="PROP-LT",IF($M62="",MAX(0,0.125*$O62),MAX(0,MIN(0.125*$O62,0.2*($L62-$M62)))),IF($P62="FLAT-LT",MAX(0,0.125*$O62),IF($P62="SLAB",MAX(0,Slab_Rate*$O62),"")))))))</f>
        <v/>
      </c>
    </row>
    <row r="63" ht="15" customHeight="1" s="37">
      <c r="A63" s="67">
        <f>IF($C63="","",ROW()-8)</f>
        <v/>
      </c>
      <c r="B63" s="75" t="n"/>
      <c r="C63" s="75" t="n"/>
      <c r="D63" s="76" t="n"/>
      <c r="E63" s="76" t="n"/>
      <c r="F63" s="77" t="n"/>
      <c r="G63" s="77" t="n"/>
      <c r="H63" s="77" t="n"/>
      <c r="I63" s="77" t="n"/>
      <c r="J63" s="67">
        <f>IF(OR($C63="",NOT(ISNUMBER($D63)),NOT(ISNUMBER($E63))),"",DATEDIF($D63,$E63,"m"))</f>
        <v/>
      </c>
      <c r="K63" s="67">
        <f>IF(OR($C63="",NOT(ISNUMBER($D63)),NOT(ISNUMBER($E63))),"",IF($E63&gt;EDATE($D63,INDEX(AM_LTm,MATCH($C63,AM_Type,0))),"LTCG","STCG"))</f>
        <v/>
      </c>
      <c r="L63" s="71">
        <f>IF($C63="","",$G63-$H63)</f>
        <v/>
      </c>
      <c r="M63" s="71">
        <f>IF(OR($C63="",NOT(ISNUMBER($D63)),NOT(ISNUMBER($E63))),"",IF(AND(INDEX(AM_Index,MATCH($C63,AM_Type,0))=1,$K63="LTCG",$D63&lt;DATE(2024,7,23),Resident="Yes"),$F63*INDEX(CII_Val,MATCH(IF(MONTH($E63)&gt;=4,YEAR($E63),YEAR($E63)-1),CII_Year,0))/INDEX(CII_Val,MATCH(MAX(2001,IF(MONTH($D63)&gt;=4,YEAR($D63),YEAR($D63)-1)),CII_Year,0)),""))</f>
        <v/>
      </c>
      <c r="N63" s="71">
        <f>IF($C63="","",IF(AND(INDEX(AM_Grand,MATCH($C63,AM_Type,0))=1,$K63="LTCG",ISNUMBER($D63),$D63&lt;DATE(2018,2,1),$I63&lt;&gt;""),MAX($F63,MIN($I63,$G63)),$F63))</f>
        <v/>
      </c>
      <c r="O63" s="71">
        <f>IF($C63="","",$L63-$N63)</f>
        <v/>
      </c>
      <c r="P63" s="67">
        <f>IF($C63="","",IF(INDEX(AM_Cat,MATCH($C63,AM_Type,0))="SLABONLY","SLAB",IF($K63="","",IF($K63="STCG",IF(INDEX(AM_Cat,MATCH($C63,AM_Type,0))="EQ","EQ-ST","SLAB"),IF(INDEX(AM_Cat,MATCH($C63,AM_Type,0))="EQ","EQ-LT",IF(INDEX(AM_Cat,MATCH($C63,AM_Type,0))="PROP","PROP-LT","FLAT-LT"))))))</f>
        <v/>
      </c>
      <c r="Q63" s="71">
        <f>IF($C63="","",IF($P63="","",IF($P63="EQ-LT","pooled",IF($P63="EQ-ST",MAX(0,0.2*$O63),IF($P63="PROP-LT",IF($M63="",MAX(0,0.125*$O63),MAX(0,MIN(0.125*$O63,0.2*($L63-$M63)))),IF($P63="FLAT-LT",MAX(0,0.125*$O63),IF($P63="SLAB",MAX(0,Slab_Rate*$O63),"")))))))</f>
        <v/>
      </c>
    </row>
    <row r="64" ht="15" customHeight="1" s="37">
      <c r="A64" s="72">
        <f>IF($C64="","",ROW()-8)</f>
        <v/>
      </c>
      <c r="B64" s="75" t="n"/>
      <c r="C64" s="75" t="n"/>
      <c r="D64" s="76" t="n"/>
      <c r="E64" s="76" t="n"/>
      <c r="F64" s="77" t="n"/>
      <c r="G64" s="77" t="n"/>
      <c r="H64" s="77" t="n"/>
      <c r="I64" s="77" t="n"/>
      <c r="J64" s="72">
        <f>IF(OR($C64="",NOT(ISNUMBER($D64)),NOT(ISNUMBER($E64))),"",DATEDIF($D64,$E64,"m"))</f>
        <v/>
      </c>
      <c r="K64" s="72">
        <f>IF(OR($C64="",NOT(ISNUMBER($D64)),NOT(ISNUMBER($E64))),"",IF($E64&gt;EDATE($D64,INDEX(AM_LTm,MATCH($C64,AM_Type,0))),"LTCG","STCG"))</f>
        <v/>
      </c>
      <c r="L64" s="74">
        <f>IF($C64="","",$G64-$H64)</f>
        <v/>
      </c>
      <c r="M64" s="74">
        <f>IF(OR($C64="",NOT(ISNUMBER($D64)),NOT(ISNUMBER($E64))),"",IF(AND(INDEX(AM_Index,MATCH($C64,AM_Type,0))=1,$K64="LTCG",$D64&lt;DATE(2024,7,23),Resident="Yes"),$F64*INDEX(CII_Val,MATCH(IF(MONTH($E64)&gt;=4,YEAR($E64),YEAR($E64)-1),CII_Year,0))/INDEX(CII_Val,MATCH(MAX(2001,IF(MONTH($D64)&gt;=4,YEAR($D64),YEAR($D64)-1)),CII_Year,0)),""))</f>
        <v/>
      </c>
      <c r="N64" s="74">
        <f>IF($C64="","",IF(AND(INDEX(AM_Grand,MATCH($C64,AM_Type,0))=1,$K64="LTCG",ISNUMBER($D64),$D64&lt;DATE(2018,2,1),$I64&lt;&gt;""),MAX($F64,MIN($I64,$G64)),$F64))</f>
        <v/>
      </c>
      <c r="O64" s="74">
        <f>IF($C64="","",$L64-$N64)</f>
        <v/>
      </c>
      <c r="P64" s="72">
        <f>IF($C64="","",IF(INDEX(AM_Cat,MATCH($C64,AM_Type,0))="SLABONLY","SLAB",IF($K64="","",IF($K64="STCG",IF(INDEX(AM_Cat,MATCH($C64,AM_Type,0))="EQ","EQ-ST","SLAB"),IF(INDEX(AM_Cat,MATCH($C64,AM_Type,0))="EQ","EQ-LT",IF(INDEX(AM_Cat,MATCH($C64,AM_Type,0))="PROP","PROP-LT","FLAT-LT"))))))</f>
        <v/>
      </c>
      <c r="Q64" s="74">
        <f>IF($C64="","",IF($P64="","",IF($P64="EQ-LT","pooled",IF($P64="EQ-ST",MAX(0,0.2*$O64),IF($P64="PROP-LT",IF($M64="",MAX(0,0.125*$O64),MAX(0,MIN(0.125*$O64,0.2*($L64-$M64)))),IF($P64="FLAT-LT",MAX(0,0.125*$O64),IF($P64="SLAB",MAX(0,Slab_Rate*$O64),"")))))))</f>
        <v/>
      </c>
    </row>
    <row r="65" ht="15" customHeight="1" s="37">
      <c r="A65" s="67">
        <f>IF($C65="","",ROW()-8)</f>
        <v/>
      </c>
      <c r="B65" s="75" t="n"/>
      <c r="C65" s="75" t="n"/>
      <c r="D65" s="76" t="n"/>
      <c r="E65" s="76" t="n"/>
      <c r="F65" s="77" t="n"/>
      <c r="G65" s="77" t="n"/>
      <c r="H65" s="77" t="n"/>
      <c r="I65" s="77" t="n"/>
      <c r="J65" s="67">
        <f>IF(OR($C65="",NOT(ISNUMBER($D65)),NOT(ISNUMBER($E65))),"",DATEDIF($D65,$E65,"m"))</f>
        <v/>
      </c>
      <c r="K65" s="67">
        <f>IF(OR($C65="",NOT(ISNUMBER($D65)),NOT(ISNUMBER($E65))),"",IF($E65&gt;EDATE($D65,INDEX(AM_LTm,MATCH($C65,AM_Type,0))),"LTCG","STCG"))</f>
        <v/>
      </c>
      <c r="L65" s="71">
        <f>IF($C65="","",$G65-$H65)</f>
        <v/>
      </c>
      <c r="M65" s="71">
        <f>IF(OR($C65="",NOT(ISNUMBER($D65)),NOT(ISNUMBER($E65))),"",IF(AND(INDEX(AM_Index,MATCH($C65,AM_Type,0))=1,$K65="LTCG",$D65&lt;DATE(2024,7,23),Resident="Yes"),$F65*INDEX(CII_Val,MATCH(IF(MONTH($E65)&gt;=4,YEAR($E65),YEAR($E65)-1),CII_Year,0))/INDEX(CII_Val,MATCH(MAX(2001,IF(MONTH($D65)&gt;=4,YEAR($D65),YEAR($D65)-1)),CII_Year,0)),""))</f>
        <v/>
      </c>
      <c r="N65" s="71">
        <f>IF($C65="","",IF(AND(INDEX(AM_Grand,MATCH($C65,AM_Type,0))=1,$K65="LTCG",ISNUMBER($D65),$D65&lt;DATE(2018,2,1),$I65&lt;&gt;""),MAX($F65,MIN($I65,$G65)),$F65))</f>
        <v/>
      </c>
      <c r="O65" s="71">
        <f>IF($C65="","",$L65-$N65)</f>
        <v/>
      </c>
      <c r="P65" s="67">
        <f>IF($C65="","",IF(INDEX(AM_Cat,MATCH($C65,AM_Type,0))="SLABONLY","SLAB",IF($K65="","",IF($K65="STCG",IF(INDEX(AM_Cat,MATCH($C65,AM_Type,0))="EQ","EQ-ST","SLAB"),IF(INDEX(AM_Cat,MATCH($C65,AM_Type,0))="EQ","EQ-LT",IF(INDEX(AM_Cat,MATCH($C65,AM_Type,0))="PROP","PROP-LT","FLAT-LT"))))))</f>
        <v/>
      </c>
      <c r="Q65" s="71">
        <f>IF($C65="","",IF($P65="","",IF($P65="EQ-LT","pooled",IF($P65="EQ-ST",MAX(0,0.2*$O65),IF($P65="PROP-LT",IF($M65="",MAX(0,0.125*$O65),MAX(0,MIN(0.125*$O65,0.2*($L65-$M65)))),IF($P65="FLAT-LT",MAX(0,0.125*$O65),IF($P65="SLAB",MAX(0,Slab_Rate*$O65),"")))))))</f>
        <v/>
      </c>
    </row>
    <row r="66" ht="15" customHeight="1" s="37">
      <c r="A66" s="72">
        <f>IF($C66="","",ROW()-8)</f>
        <v/>
      </c>
      <c r="B66" s="75" t="n"/>
      <c r="C66" s="75" t="n"/>
      <c r="D66" s="76" t="n"/>
      <c r="E66" s="76" t="n"/>
      <c r="F66" s="77" t="n"/>
      <c r="G66" s="77" t="n"/>
      <c r="H66" s="77" t="n"/>
      <c r="I66" s="77" t="n"/>
      <c r="J66" s="72">
        <f>IF(OR($C66="",NOT(ISNUMBER($D66)),NOT(ISNUMBER($E66))),"",DATEDIF($D66,$E66,"m"))</f>
        <v/>
      </c>
      <c r="K66" s="72">
        <f>IF(OR($C66="",NOT(ISNUMBER($D66)),NOT(ISNUMBER($E66))),"",IF($E66&gt;EDATE($D66,INDEX(AM_LTm,MATCH($C66,AM_Type,0))),"LTCG","STCG"))</f>
        <v/>
      </c>
      <c r="L66" s="74">
        <f>IF($C66="","",$G66-$H66)</f>
        <v/>
      </c>
      <c r="M66" s="74">
        <f>IF(OR($C66="",NOT(ISNUMBER($D66)),NOT(ISNUMBER($E66))),"",IF(AND(INDEX(AM_Index,MATCH($C66,AM_Type,0))=1,$K66="LTCG",$D66&lt;DATE(2024,7,23),Resident="Yes"),$F66*INDEX(CII_Val,MATCH(IF(MONTH($E66)&gt;=4,YEAR($E66),YEAR($E66)-1),CII_Year,0))/INDEX(CII_Val,MATCH(MAX(2001,IF(MONTH($D66)&gt;=4,YEAR($D66),YEAR($D66)-1)),CII_Year,0)),""))</f>
        <v/>
      </c>
      <c r="N66" s="74">
        <f>IF($C66="","",IF(AND(INDEX(AM_Grand,MATCH($C66,AM_Type,0))=1,$K66="LTCG",ISNUMBER($D66),$D66&lt;DATE(2018,2,1),$I66&lt;&gt;""),MAX($F66,MIN($I66,$G66)),$F66))</f>
        <v/>
      </c>
      <c r="O66" s="74">
        <f>IF($C66="","",$L66-$N66)</f>
        <v/>
      </c>
      <c r="P66" s="72">
        <f>IF($C66="","",IF(INDEX(AM_Cat,MATCH($C66,AM_Type,0))="SLABONLY","SLAB",IF($K66="","",IF($K66="STCG",IF(INDEX(AM_Cat,MATCH($C66,AM_Type,0))="EQ","EQ-ST","SLAB"),IF(INDEX(AM_Cat,MATCH($C66,AM_Type,0))="EQ","EQ-LT",IF(INDEX(AM_Cat,MATCH($C66,AM_Type,0))="PROP","PROP-LT","FLAT-LT"))))))</f>
        <v/>
      </c>
      <c r="Q66" s="74">
        <f>IF($C66="","",IF($P66="","",IF($P66="EQ-LT","pooled",IF($P66="EQ-ST",MAX(0,0.2*$O66),IF($P66="PROP-LT",IF($M66="",MAX(0,0.125*$O66),MAX(0,MIN(0.125*$O66,0.2*($L66-$M66)))),IF($P66="FLAT-LT",MAX(0,0.125*$O66),IF($P66="SLAB",MAX(0,Slab_Rate*$O66),"")))))))</f>
        <v/>
      </c>
    </row>
    <row r="67" ht="15" customHeight="1" s="37">
      <c r="A67" s="67">
        <f>IF($C67="","",ROW()-8)</f>
        <v/>
      </c>
      <c r="B67" s="75" t="n"/>
      <c r="C67" s="75" t="n"/>
      <c r="D67" s="76" t="n"/>
      <c r="E67" s="76" t="n"/>
      <c r="F67" s="77" t="n"/>
      <c r="G67" s="77" t="n"/>
      <c r="H67" s="77" t="n"/>
      <c r="I67" s="77" t="n"/>
      <c r="J67" s="67">
        <f>IF(OR($C67="",NOT(ISNUMBER($D67)),NOT(ISNUMBER($E67))),"",DATEDIF($D67,$E67,"m"))</f>
        <v/>
      </c>
      <c r="K67" s="67">
        <f>IF(OR($C67="",NOT(ISNUMBER($D67)),NOT(ISNUMBER($E67))),"",IF($E67&gt;EDATE($D67,INDEX(AM_LTm,MATCH($C67,AM_Type,0))),"LTCG","STCG"))</f>
        <v/>
      </c>
      <c r="L67" s="71">
        <f>IF($C67="","",$G67-$H67)</f>
        <v/>
      </c>
      <c r="M67" s="71">
        <f>IF(OR($C67="",NOT(ISNUMBER($D67)),NOT(ISNUMBER($E67))),"",IF(AND(INDEX(AM_Index,MATCH($C67,AM_Type,0))=1,$K67="LTCG",$D67&lt;DATE(2024,7,23),Resident="Yes"),$F67*INDEX(CII_Val,MATCH(IF(MONTH($E67)&gt;=4,YEAR($E67),YEAR($E67)-1),CII_Year,0))/INDEX(CII_Val,MATCH(MAX(2001,IF(MONTH($D67)&gt;=4,YEAR($D67),YEAR($D67)-1)),CII_Year,0)),""))</f>
        <v/>
      </c>
      <c r="N67" s="71">
        <f>IF($C67="","",IF(AND(INDEX(AM_Grand,MATCH($C67,AM_Type,0))=1,$K67="LTCG",ISNUMBER($D67),$D67&lt;DATE(2018,2,1),$I67&lt;&gt;""),MAX($F67,MIN($I67,$G67)),$F67))</f>
        <v/>
      </c>
      <c r="O67" s="71">
        <f>IF($C67="","",$L67-$N67)</f>
        <v/>
      </c>
      <c r="P67" s="67">
        <f>IF($C67="","",IF(INDEX(AM_Cat,MATCH($C67,AM_Type,0))="SLABONLY","SLAB",IF($K67="","",IF($K67="STCG",IF(INDEX(AM_Cat,MATCH($C67,AM_Type,0))="EQ","EQ-ST","SLAB"),IF(INDEX(AM_Cat,MATCH($C67,AM_Type,0))="EQ","EQ-LT",IF(INDEX(AM_Cat,MATCH($C67,AM_Type,0))="PROP","PROP-LT","FLAT-LT"))))))</f>
        <v/>
      </c>
      <c r="Q67" s="71">
        <f>IF($C67="","",IF($P67="","",IF($P67="EQ-LT","pooled",IF($P67="EQ-ST",MAX(0,0.2*$O67),IF($P67="PROP-LT",IF($M67="",MAX(0,0.125*$O67),MAX(0,MIN(0.125*$O67,0.2*($L67-$M67)))),IF($P67="FLAT-LT",MAX(0,0.125*$O67),IF($P67="SLAB",MAX(0,Slab_Rate*$O67),"")))))))</f>
        <v/>
      </c>
    </row>
    <row r="68" ht="15" customHeight="1" s="37">
      <c r="A68" s="72">
        <f>IF($C68="","",ROW()-8)</f>
        <v/>
      </c>
      <c r="B68" s="75" t="n"/>
      <c r="C68" s="75" t="n"/>
      <c r="D68" s="76" t="n"/>
      <c r="E68" s="76" t="n"/>
      <c r="F68" s="77" t="n"/>
      <c r="G68" s="77" t="n"/>
      <c r="H68" s="77" t="n"/>
      <c r="I68" s="77" t="n"/>
      <c r="J68" s="72">
        <f>IF(OR($C68="",NOT(ISNUMBER($D68)),NOT(ISNUMBER($E68))),"",DATEDIF($D68,$E68,"m"))</f>
        <v/>
      </c>
      <c r="K68" s="72">
        <f>IF(OR($C68="",NOT(ISNUMBER($D68)),NOT(ISNUMBER($E68))),"",IF($E68&gt;EDATE($D68,INDEX(AM_LTm,MATCH($C68,AM_Type,0))),"LTCG","STCG"))</f>
        <v/>
      </c>
      <c r="L68" s="74">
        <f>IF($C68="","",$G68-$H68)</f>
        <v/>
      </c>
      <c r="M68" s="74">
        <f>IF(OR($C68="",NOT(ISNUMBER($D68)),NOT(ISNUMBER($E68))),"",IF(AND(INDEX(AM_Index,MATCH($C68,AM_Type,0))=1,$K68="LTCG",$D68&lt;DATE(2024,7,23),Resident="Yes"),$F68*INDEX(CII_Val,MATCH(IF(MONTH($E68)&gt;=4,YEAR($E68),YEAR($E68)-1),CII_Year,0))/INDEX(CII_Val,MATCH(MAX(2001,IF(MONTH($D68)&gt;=4,YEAR($D68),YEAR($D68)-1)),CII_Year,0)),""))</f>
        <v/>
      </c>
      <c r="N68" s="74">
        <f>IF($C68="","",IF(AND(INDEX(AM_Grand,MATCH($C68,AM_Type,0))=1,$K68="LTCG",ISNUMBER($D68),$D68&lt;DATE(2018,2,1),$I68&lt;&gt;""),MAX($F68,MIN($I68,$G68)),$F68))</f>
        <v/>
      </c>
      <c r="O68" s="74">
        <f>IF($C68="","",$L68-$N68)</f>
        <v/>
      </c>
      <c r="P68" s="72">
        <f>IF($C68="","",IF(INDEX(AM_Cat,MATCH($C68,AM_Type,0))="SLABONLY","SLAB",IF($K68="","",IF($K68="STCG",IF(INDEX(AM_Cat,MATCH($C68,AM_Type,0))="EQ","EQ-ST","SLAB"),IF(INDEX(AM_Cat,MATCH($C68,AM_Type,0))="EQ","EQ-LT",IF(INDEX(AM_Cat,MATCH($C68,AM_Type,0))="PROP","PROP-LT","FLAT-LT"))))))</f>
        <v/>
      </c>
      <c r="Q68" s="74">
        <f>IF($C68="","",IF($P68="","",IF($P68="EQ-LT","pooled",IF($P68="EQ-ST",MAX(0,0.2*$O68),IF($P68="PROP-LT",IF($M68="",MAX(0,0.125*$O68),MAX(0,MIN(0.125*$O68,0.2*($L68-$M68)))),IF($P68="FLAT-LT",MAX(0,0.125*$O68),IF($P68="SLAB",MAX(0,Slab_Rate*$O68),"")))))))</f>
        <v/>
      </c>
    </row>
    <row r="69" ht="15" customHeight="1" s="37">
      <c r="A69" s="67">
        <f>IF($C69="","",ROW()-8)</f>
        <v/>
      </c>
      <c r="B69" s="75" t="n"/>
      <c r="C69" s="75" t="n"/>
      <c r="D69" s="76" t="n"/>
      <c r="E69" s="76" t="n"/>
      <c r="F69" s="77" t="n"/>
      <c r="G69" s="77" t="n"/>
      <c r="H69" s="77" t="n"/>
      <c r="I69" s="77" t="n"/>
      <c r="J69" s="67">
        <f>IF(OR($C69="",NOT(ISNUMBER($D69)),NOT(ISNUMBER($E69))),"",DATEDIF($D69,$E69,"m"))</f>
        <v/>
      </c>
      <c r="K69" s="67">
        <f>IF(OR($C69="",NOT(ISNUMBER($D69)),NOT(ISNUMBER($E69))),"",IF($E69&gt;EDATE($D69,INDEX(AM_LTm,MATCH($C69,AM_Type,0))),"LTCG","STCG"))</f>
        <v/>
      </c>
      <c r="L69" s="71">
        <f>IF($C69="","",$G69-$H69)</f>
        <v/>
      </c>
      <c r="M69" s="71">
        <f>IF(OR($C69="",NOT(ISNUMBER($D69)),NOT(ISNUMBER($E69))),"",IF(AND(INDEX(AM_Index,MATCH($C69,AM_Type,0))=1,$K69="LTCG",$D69&lt;DATE(2024,7,23),Resident="Yes"),$F69*INDEX(CII_Val,MATCH(IF(MONTH($E69)&gt;=4,YEAR($E69),YEAR($E69)-1),CII_Year,0))/INDEX(CII_Val,MATCH(MAX(2001,IF(MONTH($D69)&gt;=4,YEAR($D69),YEAR($D69)-1)),CII_Year,0)),""))</f>
        <v/>
      </c>
      <c r="N69" s="71">
        <f>IF($C69="","",IF(AND(INDEX(AM_Grand,MATCH($C69,AM_Type,0))=1,$K69="LTCG",ISNUMBER($D69),$D69&lt;DATE(2018,2,1),$I69&lt;&gt;""),MAX($F69,MIN($I69,$G69)),$F69))</f>
        <v/>
      </c>
      <c r="O69" s="71">
        <f>IF($C69="","",$L69-$N69)</f>
        <v/>
      </c>
      <c r="P69" s="67">
        <f>IF($C69="","",IF(INDEX(AM_Cat,MATCH($C69,AM_Type,0))="SLABONLY","SLAB",IF($K69="","",IF($K69="STCG",IF(INDEX(AM_Cat,MATCH($C69,AM_Type,0))="EQ","EQ-ST","SLAB"),IF(INDEX(AM_Cat,MATCH($C69,AM_Type,0))="EQ","EQ-LT",IF(INDEX(AM_Cat,MATCH($C69,AM_Type,0))="PROP","PROP-LT","FLAT-LT"))))))</f>
        <v/>
      </c>
      <c r="Q69" s="71">
        <f>IF($C69="","",IF($P69="","",IF($P69="EQ-LT","pooled",IF($P69="EQ-ST",MAX(0,0.2*$O69),IF($P69="PROP-LT",IF($M69="",MAX(0,0.125*$O69),MAX(0,MIN(0.125*$O69,0.2*($L69-$M69)))),IF($P69="FLAT-LT",MAX(0,0.125*$O69),IF($P69="SLAB",MAX(0,Slab_Rate*$O69),"")))))))</f>
        <v/>
      </c>
    </row>
    <row r="70" ht="15" customHeight="1" s="37">
      <c r="A70" s="72">
        <f>IF($C70="","",ROW()-8)</f>
        <v/>
      </c>
      <c r="B70" s="75" t="n"/>
      <c r="C70" s="75" t="n"/>
      <c r="D70" s="76" t="n"/>
      <c r="E70" s="76" t="n"/>
      <c r="F70" s="77" t="n"/>
      <c r="G70" s="77" t="n"/>
      <c r="H70" s="77" t="n"/>
      <c r="I70" s="77" t="n"/>
      <c r="J70" s="72">
        <f>IF(OR($C70="",NOT(ISNUMBER($D70)),NOT(ISNUMBER($E70))),"",DATEDIF($D70,$E70,"m"))</f>
        <v/>
      </c>
      <c r="K70" s="72">
        <f>IF(OR($C70="",NOT(ISNUMBER($D70)),NOT(ISNUMBER($E70))),"",IF($E70&gt;EDATE($D70,INDEX(AM_LTm,MATCH($C70,AM_Type,0))),"LTCG","STCG"))</f>
        <v/>
      </c>
      <c r="L70" s="74">
        <f>IF($C70="","",$G70-$H70)</f>
        <v/>
      </c>
      <c r="M70" s="74">
        <f>IF(OR($C70="",NOT(ISNUMBER($D70)),NOT(ISNUMBER($E70))),"",IF(AND(INDEX(AM_Index,MATCH($C70,AM_Type,0))=1,$K70="LTCG",$D70&lt;DATE(2024,7,23),Resident="Yes"),$F70*INDEX(CII_Val,MATCH(IF(MONTH($E70)&gt;=4,YEAR($E70),YEAR($E70)-1),CII_Year,0))/INDEX(CII_Val,MATCH(MAX(2001,IF(MONTH($D70)&gt;=4,YEAR($D70),YEAR($D70)-1)),CII_Year,0)),""))</f>
        <v/>
      </c>
      <c r="N70" s="74">
        <f>IF($C70="","",IF(AND(INDEX(AM_Grand,MATCH($C70,AM_Type,0))=1,$K70="LTCG",ISNUMBER($D70),$D70&lt;DATE(2018,2,1),$I70&lt;&gt;""),MAX($F70,MIN($I70,$G70)),$F70))</f>
        <v/>
      </c>
      <c r="O70" s="74">
        <f>IF($C70="","",$L70-$N70)</f>
        <v/>
      </c>
      <c r="P70" s="72">
        <f>IF($C70="","",IF(INDEX(AM_Cat,MATCH($C70,AM_Type,0))="SLABONLY","SLAB",IF($K70="","",IF($K70="STCG",IF(INDEX(AM_Cat,MATCH($C70,AM_Type,0))="EQ","EQ-ST","SLAB"),IF(INDEX(AM_Cat,MATCH($C70,AM_Type,0))="EQ","EQ-LT",IF(INDEX(AM_Cat,MATCH($C70,AM_Type,0))="PROP","PROP-LT","FLAT-LT"))))))</f>
        <v/>
      </c>
      <c r="Q70" s="74">
        <f>IF($C70="","",IF($P70="","",IF($P70="EQ-LT","pooled",IF($P70="EQ-ST",MAX(0,0.2*$O70),IF($P70="PROP-LT",IF($M70="",MAX(0,0.125*$O70),MAX(0,MIN(0.125*$O70,0.2*($L70-$M70)))),IF($P70="FLAT-LT",MAX(0,0.125*$O70),IF($P70="SLAB",MAX(0,Slab_Rate*$O70),"")))))))</f>
        <v/>
      </c>
    </row>
    <row r="71" ht="15" customHeight="1" s="37">
      <c r="A71" s="67">
        <f>IF($C71="","",ROW()-8)</f>
        <v/>
      </c>
      <c r="B71" s="75" t="n"/>
      <c r="C71" s="75" t="n"/>
      <c r="D71" s="76" t="n"/>
      <c r="E71" s="76" t="n"/>
      <c r="F71" s="77" t="n"/>
      <c r="G71" s="77" t="n"/>
      <c r="H71" s="77" t="n"/>
      <c r="I71" s="77" t="n"/>
      <c r="J71" s="67">
        <f>IF(OR($C71="",NOT(ISNUMBER($D71)),NOT(ISNUMBER($E71))),"",DATEDIF($D71,$E71,"m"))</f>
        <v/>
      </c>
      <c r="K71" s="67">
        <f>IF(OR($C71="",NOT(ISNUMBER($D71)),NOT(ISNUMBER($E71))),"",IF($E71&gt;EDATE($D71,INDEX(AM_LTm,MATCH($C71,AM_Type,0))),"LTCG","STCG"))</f>
        <v/>
      </c>
      <c r="L71" s="71">
        <f>IF($C71="","",$G71-$H71)</f>
        <v/>
      </c>
      <c r="M71" s="71">
        <f>IF(OR($C71="",NOT(ISNUMBER($D71)),NOT(ISNUMBER($E71))),"",IF(AND(INDEX(AM_Index,MATCH($C71,AM_Type,0))=1,$K71="LTCG",$D71&lt;DATE(2024,7,23),Resident="Yes"),$F71*INDEX(CII_Val,MATCH(IF(MONTH($E71)&gt;=4,YEAR($E71),YEAR($E71)-1),CII_Year,0))/INDEX(CII_Val,MATCH(MAX(2001,IF(MONTH($D71)&gt;=4,YEAR($D71),YEAR($D71)-1)),CII_Year,0)),""))</f>
        <v/>
      </c>
      <c r="N71" s="71">
        <f>IF($C71="","",IF(AND(INDEX(AM_Grand,MATCH($C71,AM_Type,0))=1,$K71="LTCG",ISNUMBER($D71),$D71&lt;DATE(2018,2,1),$I71&lt;&gt;""),MAX($F71,MIN($I71,$G71)),$F71))</f>
        <v/>
      </c>
      <c r="O71" s="71">
        <f>IF($C71="","",$L71-$N71)</f>
        <v/>
      </c>
      <c r="P71" s="67">
        <f>IF($C71="","",IF(INDEX(AM_Cat,MATCH($C71,AM_Type,0))="SLABONLY","SLAB",IF($K71="","",IF($K71="STCG",IF(INDEX(AM_Cat,MATCH($C71,AM_Type,0))="EQ","EQ-ST","SLAB"),IF(INDEX(AM_Cat,MATCH($C71,AM_Type,0))="EQ","EQ-LT",IF(INDEX(AM_Cat,MATCH($C71,AM_Type,0))="PROP","PROP-LT","FLAT-LT"))))))</f>
        <v/>
      </c>
      <c r="Q71" s="71">
        <f>IF($C71="","",IF($P71="","",IF($P71="EQ-LT","pooled",IF($P71="EQ-ST",MAX(0,0.2*$O71),IF($P71="PROP-LT",IF($M71="",MAX(0,0.125*$O71),MAX(0,MIN(0.125*$O71,0.2*($L71-$M71)))),IF($P71="FLAT-LT",MAX(0,0.125*$O71),IF($P71="SLAB",MAX(0,Slab_Rate*$O71),"")))))))</f>
        <v/>
      </c>
    </row>
    <row r="72" ht="15" customHeight="1" s="37">
      <c r="A72" s="72">
        <f>IF($C72="","",ROW()-8)</f>
        <v/>
      </c>
      <c r="B72" s="75" t="n"/>
      <c r="C72" s="75" t="n"/>
      <c r="D72" s="76" t="n"/>
      <c r="E72" s="76" t="n"/>
      <c r="F72" s="77" t="n"/>
      <c r="G72" s="77" t="n"/>
      <c r="H72" s="77" t="n"/>
      <c r="I72" s="77" t="n"/>
      <c r="J72" s="72">
        <f>IF(OR($C72="",NOT(ISNUMBER($D72)),NOT(ISNUMBER($E72))),"",DATEDIF($D72,$E72,"m"))</f>
        <v/>
      </c>
      <c r="K72" s="72">
        <f>IF(OR($C72="",NOT(ISNUMBER($D72)),NOT(ISNUMBER($E72))),"",IF($E72&gt;EDATE($D72,INDEX(AM_LTm,MATCH($C72,AM_Type,0))),"LTCG","STCG"))</f>
        <v/>
      </c>
      <c r="L72" s="74">
        <f>IF($C72="","",$G72-$H72)</f>
        <v/>
      </c>
      <c r="M72" s="74">
        <f>IF(OR($C72="",NOT(ISNUMBER($D72)),NOT(ISNUMBER($E72))),"",IF(AND(INDEX(AM_Index,MATCH($C72,AM_Type,0))=1,$K72="LTCG",$D72&lt;DATE(2024,7,23),Resident="Yes"),$F72*INDEX(CII_Val,MATCH(IF(MONTH($E72)&gt;=4,YEAR($E72),YEAR($E72)-1),CII_Year,0))/INDEX(CII_Val,MATCH(MAX(2001,IF(MONTH($D72)&gt;=4,YEAR($D72),YEAR($D72)-1)),CII_Year,0)),""))</f>
        <v/>
      </c>
      <c r="N72" s="74">
        <f>IF($C72="","",IF(AND(INDEX(AM_Grand,MATCH($C72,AM_Type,0))=1,$K72="LTCG",ISNUMBER($D72),$D72&lt;DATE(2018,2,1),$I72&lt;&gt;""),MAX($F72,MIN($I72,$G72)),$F72))</f>
        <v/>
      </c>
      <c r="O72" s="74">
        <f>IF($C72="","",$L72-$N72)</f>
        <v/>
      </c>
      <c r="P72" s="72">
        <f>IF($C72="","",IF(INDEX(AM_Cat,MATCH($C72,AM_Type,0))="SLABONLY","SLAB",IF($K72="","",IF($K72="STCG",IF(INDEX(AM_Cat,MATCH($C72,AM_Type,0))="EQ","EQ-ST","SLAB"),IF(INDEX(AM_Cat,MATCH($C72,AM_Type,0))="EQ","EQ-LT",IF(INDEX(AM_Cat,MATCH($C72,AM_Type,0))="PROP","PROP-LT","FLAT-LT"))))))</f>
        <v/>
      </c>
      <c r="Q72" s="74">
        <f>IF($C72="","",IF($P72="","",IF($P72="EQ-LT","pooled",IF($P72="EQ-ST",MAX(0,0.2*$O72),IF($P72="PROP-LT",IF($M72="",MAX(0,0.125*$O72),MAX(0,MIN(0.125*$O72,0.2*($L72-$M72)))),IF($P72="FLAT-LT",MAX(0,0.125*$O72),IF($P72="SLAB",MAX(0,Slab_Rate*$O72),"")))))))</f>
        <v/>
      </c>
    </row>
    <row r="73" ht="15" customHeight="1" s="37">
      <c r="A73" s="67">
        <f>IF($C73="","",ROW()-8)</f>
        <v/>
      </c>
      <c r="B73" s="75" t="n"/>
      <c r="C73" s="75" t="n"/>
      <c r="D73" s="76" t="n"/>
      <c r="E73" s="76" t="n"/>
      <c r="F73" s="77" t="n"/>
      <c r="G73" s="77" t="n"/>
      <c r="H73" s="77" t="n"/>
      <c r="I73" s="77" t="n"/>
      <c r="J73" s="67">
        <f>IF(OR($C73="",NOT(ISNUMBER($D73)),NOT(ISNUMBER($E73))),"",DATEDIF($D73,$E73,"m"))</f>
        <v/>
      </c>
      <c r="K73" s="67">
        <f>IF(OR($C73="",NOT(ISNUMBER($D73)),NOT(ISNUMBER($E73))),"",IF($E73&gt;EDATE($D73,INDEX(AM_LTm,MATCH($C73,AM_Type,0))),"LTCG","STCG"))</f>
        <v/>
      </c>
      <c r="L73" s="71">
        <f>IF($C73="","",$G73-$H73)</f>
        <v/>
      </c>
      <c r="M73" s="71">
        <f>IF(OR($C73="",NOT(ISNUMBER($D73)),NOT(ISNUMBER($E73))),"",IF(AND(INDEX(AM_Index,MATCH($C73,AM_Type,0))=1,$K73="LTCG",$D73&lt;DATE(2024,7,23),Resident="Yes"),$F73*INDEX(CII_Val,MATCH(IF(MONTH($E73)&gt;=4,YEAR($E73),YEAR($E73)-1),CII_Year,0))/INDEX(CII_Val,MATCH(MAX(2001,IF(MONTH($D73)&gt;=4,YEAR($D73),YEAR($D73)-1)),CII_Year,0)),""))</f>
        <v/>
      </c>
      <c r="N73" s="71">
        <f>IF($C73="","",IF(AND(INDEX(AM_Grand,MATCH($C73,AM_Type,0))=1,$K73="LTCG",ISNUMBER($D73),$D73&lt;DATE(2018,2,1),$I73&lt;&gt;""),MAX($F73,MIN($I73,$G73)),$F73))</f>
        <v/>
      </c>
      <c r="O73" s="71">
        <f>IF($C73="","",$L73-$N73)</f>
        <v/>
      </c>
      <c r="P73" s="67">
        <f>IF($C73="","",IF(INDEX(AM_Cat,MATCH($C73,AM_Type,0))="SLABONLY","SLAB",IF($K73="","",IF($K73="STCG",IF(INDEX(AM_Cat,MATCH($C73,AM_Type,0))="EQ","EQ-ST","SLAB"),IF(INDEX(AM_Cat,MATCH($C73,AM_Type,0))="EQ","EQ-LT",IF(INDEX(AM_Cat,MATCH($C73,AM_Type,0))="PROP","PROP-LT","FLAT-LT"))))))</f>
        <v/>
      </c>
      <c r="Q73" s="71">
        <f>IF($C73="","",IF($P73="","",IF($P73="EQ-LT","pooled",IF($P73="EQ-ST",MAX(0,0.2*$O73),IF($P73="PROP-LT",IF($M73="",MAX(0,0.125*$O73),MAX(0,MIN(0.125*$O73,0.2*($L73-$M73)))),IF($P73="FLAT-LT",MAX(0,0.125*$O73),IF($P73="SLAB",MAX(0,Slab_Rate*$O73),"")))))))</f>
        <v/>
      </c>
    </row>
    <row r="74" ht="15" customHeight="1" s="37">
      <c r="A74" s="72">
        <f>IF($C74="","",ROW()-8)</f>
        <v/>
      </c>
      <c r="B74" s="75" t="n"/>
      <c r="C74" s="75" t="n"/>
      <c r="D74" s="76" t="n"/>
      <c r="E74" s="76" t="n"/>
      <c r="F74" s="77" t="n"/>
      <c r="G74" s="77" t="n"/>
      <c r="H74" s="77" t="n"/>
      <c r="I74" s="77" t="n"/>
      <c r="J74" s="72">
        <f>IF(OR($C74="",NOT(ISNUMBER($D74)),NOT(ISNUMBER($E74))),"",DATEDIF($D74,$E74,"m"))</f>
        <v/>
      </c>
      <c r="K74" s="72">
        <f>IF(OR($C74="",NOT(ISNUMBER($D74)),NOT(ISNUMBER($E74))),"",IF($E74&gt;EDATE($D74,INDEX(AM_LTm,MATCH($C74,AM_Type,0))),"LTCG","STCG"))</f>
        <v/>
      </c>
      <c r="L74" s="74">
        <f>IF($C74="","",$G74-$H74)</f>
        <v/>
      </c>
      <c r="M74" s="74">
        <f>IF(OR($C74="",NOT(ISNUMBER($D74)),NOT(ISNUMBER($E74))),"",IF(AND(INDEX(AM_Index,MATCH($C74,AM_Type,0))=1,$K74="LTCG",$D74&lt;DATE(2024,7,23),Resident="Yes"),$F74*INDEX(CII_Val,MATCH(IF(MONTH($E74)&gt;=4,YEAR($E74),YEAR($E74)-1),CII_Year,0))/INDEX(CII_Val,MATCH(MAX(2001,IF(MONTH($D74)&gt;=4,YEAR($D74),YEAR($D74)-1)),CII_Year,0)),""))</f>
        <v/>
      </c>
      <c r="N74" s="74">
        <f>IF($C74="","",IF(AND(INDEX(AM_Grand,MATCH($C74,AM_Type,0))=1,$K74="LTCG",ISNUMBER($D74),$D74&lt;DATE(2018,2,1),$I74&lt;&gt;""),MAX($F74,MIN($I74,$G74)),$F74))</f>
        <v/>
      </c>
      <c r="O74" s="74">
        <f>IF($C74="","",$L74-$N74)</f>
        <v/>
      </c>
      <c r="P74" s="72">
        <f>IF($C74="","",IF(INDEX(AM_Cat,MATCH($C74,AM_Type,0))="SLABONLY","SLAB",IF($K74="","",IF($K74="STCG",IF(INDEX(AM_Cat,MATCH($C74,AM_Type,0))="EQ","EQ-ST","SLAB"),IF(INDEX(AM_Cat,MATCH($C74,AM_Type,0))="EQ","EQ-LT",IF(INDEX(AM_Cat,MATCH($C74,AM_Type,0))="PROP","PROP-LT","FLAT-LT"))))))</f>
        <v/>
      </c>
      <c r="Q74" s="74">
        <f>IF($C74="","",IF($P74="","",IF($P74="EQ-LT","pooled",IF($P74="EQ-ST",MAX(0,0.2*$O74),IF($P74="PROP-LT",IF($M74="",MAX(0,0.125*$O74),MAX(0,MIN(0.125*$O74,0.2*($L74-$M74)))),IF($P74="FLAT-LT",MAX(0,0.125*$O74),IF($P74="SLAB",MAX(0,Slab_Rate*$O74),"")))))))</f>
        <v/>
      </c>
    </row>
    <row r="75" ht="15" customHeight="1" s="37">
      <c r="A75" s="67">
        <f>IF($C75="","",ROW()-8)</f>
        <v/>
      </c>
      <c r="B75" s="75" t="n"/>
      <c r="C75" s="75" t="n"/>
      <c r="D75" s="76" t="n"/>
      <c r="E75" s="76" t="n"/>
      <c r="F75" s="77" t="n"/>
      <c r="G75" s="77" t="n"/>
      <c r="H75" s="77" t="n"/>
      <c r="I75" s="77" t="n"/>
      <c r="J75" s="67">
        <f>IF(OR($C75="",NOT(ISNUMBER($D75)),NOT(ISNUMBER($E75))),"",DATEDIF($D75,$E75,"m"))</f>
        <v/>
      </c>
      <c r="K75" s="67">
        <f>IF(OR($C75="",NOT(ISNUMBER($D75)),NOT(ISNUMBER($E75))),"",IF($E75&gt;EDATE($D75,INDEX(AM_LTm,MATCH($C75,AM_Type,0))),"LTCG","STCG"))</f>
        <v/>
      </c>
      <c r="L75" s="71">
        <f>IF($C75="","",$G75-$H75)</f>
        <v/>
      </c>
      <c r="M75" s="71">
        <f>IF(OR($C75="",NOT(ISNUMBER($D75)),NOT(ISNUMBER($E75))),"",IF(AND(INDEX(AM_Index,MATCH($C75,AM_Type,0))=1,$K75="LTCG",$D75&lt;DATE(2024,7,23),Resident="Yes"),$F75*INDEX(CII_Val,MATCH(IF(MONTH($E75)&gt;=4,YEAR($E75),YEAR($E75)-1),CII_Year,0))/INDEX(CII_Val,MATCH(MAX(2001,IF(MONTH($D75)&gt;=4,YEAR($D75),YEAR($D75)-1)),CII_Year,0)),""))</f>
        <v/>
      </c>
      <c r="N75" s="71">
        <f>IF($C75="","",IF(AND(INDEX(AM_Grand,MATCH($C75,AM_Type,0))=1,$K75="LTCG",ISNUMBER($D75),$D75&lt;DATE(2018,2,1),$I75&lt;&gt;""),MAX($F75,MIN($I75,$G75)),$F75))</f>
        <v/>
      </c>
      <c r="O75" s="71">
        <f>IF($C75="","",$L75-$N75)</f>
        <v/>
      </c>
      <c r="P75" s="67">
        <f>IF($C75="","",IF(INDEX(AM_Cat,MATCH($C75,AM_Type,0))="SLABONLY","SLAB",IF($K75="","",IF($K75="STCG",IF(INDEX(AM_Cat,MATCH($C75,AM_Type,0))="EQ","EQ-ST","SLAB"),IF(INDEX(AM_Cat,MATCH($C75,AM_Type,0))="EQ","EQ-LT",IF(INDEX(AM_Cat,MATCH($C75,AM_Type,0))="PROP","PROP-LT","FLAT-LT"))))))</f>
        <v/>
      </c>
      <c r="Q75" s="71">
        <f>IF($C75="","",IF($P75="","",IF($P75="EQ-LT","pooled",IF($P75="EQ-ST",MAX(0,0.2*$O75),IF($P75="PROP-LT",IF($M75="",MAX(0,0.125*$O75),MAX(0,MIN(0.125*$O75,0.2*($L75-$M75)))),IF($P75="FLAT-LT",MAX(0,0.125*$O75),IF($P75="SLAB",MAX(0,Slab_Rate*$O75),"")))))))</f>
        <v/>
      </c>
    </row>
    <row r="76" ht="15" customHeight="1" s="37">
      <c r="A76" s="72">
        <f>IF($C76="","",ROW()-8)</f>
        <v/>
      </c>
      <c r="B76" s="75" t="n"/>
      <c r="C76" s="75" t="n"/>
      <c r="D76" s="76" t="n"/>
      <c r="E76" s="76" t="n"/>
      <c r="F76" s="77" t="n"/>
      <c r="G76" s="77" t="n"/>
      <c r="H76" s="77" t="n"/>
      <c r="I76" s="77" t="n"/>
      <c r="J76" s="72">
        <f>IF(OR($C76="",NOT(ISNUMBER($D76)),NOT(ISNUMBER($E76))),"",DATEDIF($D76,$E76,"m"))</f>
        <v/>
      </c>
      <c r="K76" s="72">
        <f>IF(OR($C76="",NOT(ISNUMBER($D76)),NOT(ISNUMBER($E76))),"",IF($E76&gt;EDATE($D76,INDEX(AM_LTm,MATCH($C76,AM_Type,0))),"LTCG","STCG"))</f>
        <v/>
      </c>
      <c r="L76" s="74">
        <f>IF($C76="","",$G76-$H76)</f>
        <v/>
      </c>
      <c r="M76" s="74">
        <f>IF(OR($C76="",NOT(ISNUMBER($D76)),NOT(ISNUMBER($E76))),"",IF(AND(INDEX(AM_Index,MATCH($C76,AM_Type,0))=1,$K76="LTCG",$D76&lt;DATE(2024,7,23),Resident="Yes"),$F76*INDEX(CII_Val,MATCH(IF(MONTH($E76)&gt;=4,YEAR($E76),YEAR($E76)-1),CII_Year,0))/INDEX(CII_Val,MATCH(MAX(2001,IF(MONTH($D76)&gt;=4,YEAR($D76),YEAR($D76)-1)),CII_Year,0)),""))</f>
        <v/>
      </c>
      <c r="N76" s="74">
        <f>IF($C76="","",IF(AND(INDEX(AM_Grand,MATCH($C76,AM_Type,0))=1,$K76="LTCG",ISNUMBER($D76),$D76&lt;DATE(2018,2,1),$I76&lt;&gt;""),MAX($F76,MIN($I76,$G76)),$F76))</f>
        <v/>
      </c>
      <c r="O76" s="74">
        <f>IF($C76="","",$L76-$N76)</f>
        <v/>
      </c>
      <c r="P76" s="72">
        <f>IF($C76="","",IF(INDEX(AM_Cat,MATCH($C76,AM_Type,0))="SLABONLY","SLAB",IF($K76="","",IF($K76="STCG",IF(INDEX(AM_Cat,MATCH($C76,AM_Type,0))="EQ","EQ-ST","SLAB"),IF(INDEX(AM_Cat,MATCH($C76,AM_Type,0))="EQ","EQ-LT",IF(INDEX(AM_Cat,MATCH($C76,AM_Type,0))="PROP","PROP-LT","FLAT-LT"))))))</f>
        <v/>
      </c>
      <c r="Q76" s="74">
        <f>IF($C76="","",IF($P76="","",IF($P76="EQ-LT","pooled",IF($P76="EQ-ST",MAX(0,0.2*$O76),IF($P76="PROP-LT",IF($M76="",MAX(0,0.125*$O76),MAX(0,MIN(0.125*$O76,0.2*($L76-$M76)))),IF($P76="FLAT-LT",MAX(0,0.125*$O76),IF($P76="SLAB",MAX(0,Slab_Rate*$O76),"")))))))</f>
        <v/>
      </c>
    </row>
    <row r="77" ht="15" customHeight="1" s="37">
      <c r="A77" s="67">
        <f>IF($C77="","",ROW()-8)</f>
        <v/>
      </c>
      <c r="B77" s="75" t="n"/>
      <c r="C77" s="75" t="n"/>
      <c r="D77" s="76" t="n"/>
      <c r="E77" s="76" t="n"/>
      <c r="F77" s="77" t="n"/>
      <c r="G77" s="77" t="n"/>
      <c r="H77" s="77" t="n"/>
      <c r="I77" s="77" t="n"/>
      <c r="J77" s="67">
        <f>IF(OR($C77="",NOT(ISNUMBER($D77)),NOT(ISNUMBER($E77))),"",DATEDIF($D77,$E77,"m"))</f>
        <v/>
      </c>
      <c r="K77" s="67">
        <f>IF(OR($C77="",NOT(ISNUMBER($D77)),NOT(ISNUMBER($E77))),"",IF($E77&gt;EDATE($D77,INDEX(AM_LTm,MATCH($C77,AM_Type,0))),"LTCG","STCG"))</f>
        <v/>
      </c>
      <c r="L77" s="71">
        <f>IF($C77="","",$G77-$H77)</f>
        <v/>
      </c>
      <c r="M77" s="71">
        <f>IF(OR($C77="",NOT(ISNUMBER($D77)),NOT(ISNUMBER($E77))),"",IF(AND(INDEX(AM_Index,MATCH($C77,AM_Type,0))=1,$K77="LTCG",$D77&lt;DATE(2024,7,23),Resident="Yes"),$F77*INDEX(CII_Val,MATCH(IF(MONTH($E77)&gt;=4,YEAR($E77),YEAR($E77)-1),CII_Year,0))/INDEX(CII_Val,MATCH(MAX(2001,IF(MONTH($D77)&gt;=4,YEAR($D77),YEAR($D77)-1)),CII_Year,0)),""))</f>
        <v/>
      </c>
      <c r="N77" s="71">
        <f>IF($C77="","",IF(AND(INDEX(AM_Grand,MATCH($C77,AM_Type,0))=1,$K77="LTCG",ISNUMBER($D77),$D77&lt;DATE(2018,2,1),$I77&lt;&gt;""),MAX($F77,MIN($I77,$G77)),$F77))</f>
        <v/>
      </c>
      <c r="O77" s="71">
        <f>IF($C77="","",$L77-$N77)</f>
        <v/>
      </c>
      <c r="P77" s="67">
        <f>IF($C77="","",IF(INDEX(AM_Cat,MATCH($C77,AM_Type,0))="SLABONLY","SLAB",IF($K77="","",IF($K77="STCG",IF(INDEX(AM_Cat,MATCH($C77,AM_Type,0))="EQ","EQ-ST","SLAB"),IF(INDEX(AM_Cat,MATCH($C77,AM_Type,0))="EQ","EQ-LT",IF(INDEX(AM_Cat,MATCH($C77,AM_Type,0))="PROP","PROP-LT","FLAT-LT"))))))</f>
        <v/>
      </c>
      <c r="Q77" s="71">
        <f>IF($C77="","",IF($P77="","",IF($P77="EQ-LT","pooled",IF($P77="EQ-ST",MAX(0,0.2*$O77),IF($P77="PROP-LT",IF($M77="",MAX(0,0.125*$O77),MAX(0,MIN(0.125*$O77,0.2*($L77-$M77)))),IF($P77="FLAT-LT",MAX(0,0.125*$O77),IF($P77="SLAB",MAX(0,Slab_Rate*$O77),"")))))))</f>
        <v/>
      </c>
    </row>
    <row r="78" ht="15" customHeight="1" s="37">
      <c r="A78" s="72">
        <f>IF($C78="","",ROW()-8)</f>
        <v/>
      </c>
      <c r="B78" s="75" t="n"/>
      <c r="C78" s="75" t="n"/>
      <c r="D78" s="76" t="n"/>
      <c r="E78" s="76" t="n"/>
      <c r="F78" s="77" t="n"/>
      <c r="G78" s="77" t="n"/>
      <c r="H78" s="77" t="n"/>
      <c r="I78" s="77" t="n"/>
      <c r="J78" s="72">
        <f>IF(OR($C78="",NOT(ISNUMBER($D78)),NOT(ISNUMBER($E78))),"",DATEDIF($D78,$E78,"m"))</f>
        <v/>
      </c>
      <c r="K78" s="72">
        <f>IF(OR($C78="",NOT(ISNUMBER($D78)),NOT(ISNUMBER($E78))),"",IF($E78&gt;EDATE($D78,INDEX(AM_LTm,MATCH($C78,AM_Type,0))),"LTCG","STCG"))</f>
        <v/>
      </c>
      <c r="L78" s="74">
        <f>IF($C78="","",$G78-$H78)</f>
        <v/>
      </c>
      <c r="M78" s="74">
        <f>IF(OR($C78="",NOT(ISNUMBER($D78)),NOT(ISNUMBER($E78))),"",IF(AND(INDEX(AM_Index,MATCH($C78,AM_Type,0))=1,$K78="LTCG",$D78&lt;DATE(2024,7,23),Resident="Yes"),$F78*INDEX(CII_Val,MATCH(IF(MONTH($E78)&gt;=4,YEAR($E78),YEAR($E78)-1),CII_Year,0))/INDEX(CII_Val,MATCH(MAX(2001,IF(MONTH($D78)&gt;=4,YEAR($D78),YEAR($D78)-1)),CII_Year,0)),""))</f>
        <v/>
      </c>
      <c r="N78" s="74">
        <f>IF($C78="","",IF(AND(INDEX(AM_Grand,MATCH($C78,AM_Type,0))=1,$K78="LTCG",ISNUMBER($D78),$D78&lt;DATE(2018,2,1),$I78&lt;&gt;""),MAX($F78,MIN($I78,$G78)),$F78))</f>
        <v/>
      </c>
      <c r="O78" s="74">
        <f>IF($C78="","",$L78-$N78)</f>
        <v/>
      </c>
      <c r="P78" s="72">
        <f>IF($C78="","",IF(INDEX(AM_Cat,MATCH($C78,AM_Type,0))="SLABONLY","SLAB",IF($K78="","",IF($K78="STCG",IF(INDEX(AM_Cat,MATCH($C78,AM_Type,0))="EQ","EQ-ST","SLAB"),IF(INDEX(AM_Cat,MATCH($C78,AM_Type,0))="EQ","EQ-LT",IF(INDEX(AM_Cat,MATCH($C78,AM_Type,0))="PROP","PROP-LT","FLAT-LT"))))))</f>
        <v/>
      </c>
      <c r="Q78" s="74">
        <f>IF($C78="","",IF($P78="","",IF($P78="EQ-LT","pooled",IF($P78="EQ-ST",MAX(0,0.2*$O78),IF($P78="PROP-LT",IF($M78="",MAX(0,0.125*$O78),MAX(0,MIN(0.125*$O78,0.2*($L78-$M78)))),IF($P78="FLAT-LT",MAX(0,0.125*$O78),IF($P78="SLAB",MAX(0,Slab_Rate*$O78),"")))))))</f>
        <v/>
      </c>
    </row>
    <row r="79" ht="15" customHeight="1" s="37">
      <c r="A79" s="67">
        <f>IF($C79="","",ROW()-8)</f>
        <v/>
      </c>
      <c r="B79" s="75" t="n"/>
      <c r="C79" s="75" t="n"/>
      <c r="D79" s="76" t="n"/>
      <c r="E79" s="76" t="n"/>
      <c r="F79" s="77" t="n"/>
      <c r="G79" s="77" t="n"/>
      <c r="H79" s="77" t="n"/>
      <c r="I79" s="77" t="n"/>
      <c r="J79" s="67">
        <f>IF(OR($C79="",NOT(ISNUMBER($D79)),NOT(ISNUMBER($E79))),"",DATEDIF($D79,$E79,"m"))</f>
        <v/>
      </c>
      <c r="K79" s="67">
        <f>IF(OR($C79="",NOT(ISNUMBER($D79)),NOT(ISNUMBER($E79))),"",IF($E79&gt;EDATE($D79,INDEX(AM_LTm,MATCH($C79,AM_Type,0))),"LTCG","STCG"))</f>
        <v/>
      </c>
      <c r="L79" s="71">
        <f>IF($C79="","",$G79-$H79)</f>
        <v/>
      </c>
      <c r="M79" s="71">
        <f>IF(OR($C79="",NOT(ISNUMBER($D79)),NOT(ISNUMBER($E79))),"",IF(AND(INDEX(AM_Index,MATCH($C79,AM_Type,0))=1,$K79="LTCG",$D79&lt;DATE(2024,7,23),Resident="Yes"),$F79*INDEX(CII_Val,MATCH(IF(MONTH($E79)&gt;=4,YEAR($E79),YEAR($E79)-1),CII_Year,0))/INDEX(CII_Val,MATCH(MAX(2001,IF(MONTH($D79)&gt;=4,YEAR($D79),YEAR($D79)-1)),CII_Year,0)),""))</f>
        <v/>
      </c>
      <c r="N79" s="71">
        <f>IF($C79="","",IF(AND(INDEX(AM_Grand,MATCH($C79,AM_Type,0))=1,$K79="LTCG",ISNUMBER($D79),$D79&lt;DATE(2018,2,1),$I79&lt;&gt;""),MAX($F79,MIN($I79,$G79)),$F79))</f>
        <v/>
      </c>
      <c r="O79" s="71">
        <f>IF($C79="","",$L79-$N79)</f>
        <v/>
      </c>
      <c r="P79" s="67">
        <f>IF($C79="","",IF(INDEX(AM_Cat,MATCH($C79,AM_Type,0))="SLABONLY","SLAB",IF($K79="","",IF($K79="STCG",IF(INDEX(AM_Cat,MATCH($C79,AM_Type,0))="EQ","EQ-ST","SLAB"),IF(INDEX(AM_Cat,MATCH($C79,AM_Type,0))="EQ","EQ-LT",IF(INDEX(AM_Cat,MATCH($C79,AM_Type,0))="PROP","PROP-LT","FLAT-LT"))))))</f>
        <v/>
      </c>
      <c r="Q79" s="71">
        <f>IF($C79="","",IF($P79="","",IF($P79="EQ-LT","pooled",IF($P79="EQ-ST",MAX(0,0.2*$O79),IF($P79="PROP-LT",IF($M79="",MAX(0,0.125*$O79),MAX(0,MIN(0.125*$O79,0.2*($L79-$M79)))),IF($P79="FLAT-LT",MAX(0,0.125*$O79),IF($P79="SLAB",MAX(0,Slab_Rate*$O79),"")))))))</f>
        <v/>
      </c>
    </row>
    <row r="80" ht="15" customHeight="1" s="37">
      <c r="A80" s="72">
        <f>IF($C80="","",ROW()-8)</f>
        <v/>
      </c>
      <c r="B80" s="75" t="n"/>
      <c r="C80" s="75" t="n"/>
      <c r="D80" s="76" t="n"/>
      <c r="E80" s="76" t="n"/>
      <c r="F80" s="77" t="n"/>
      <c r="G80" s="77" t="n"/>
      <c r="H80" s="77" t="n"/>
      <c r="I80" s="77" t="n"/>
      <c r="J80" s="72">
        <f>IF(OR($C80="",NOT(ISNUMBER($D80)),NOT(ISNUMBER($E80))),"",DATEDIF($D80,$E80,"m"))</f>
        <v/>
      </c>
      <c r="K80" s="72">
        <f>IF(OR($C80="",NOT(ISNUMBER($D80)),NOT(ISNUMBER($E80))),"",IF($E80&gt;EDATE($D80,INDEX(AM_LTm,MATCH($C80,AM_Type,0))),"LTCG","STCG"))</f>
        <v/>
      </c>
      <c r="L80" s="74">
        <f>IF($C80="","",$G80-$H80)</f>
        <v/>
      </c>
      <c r="M80" s="74">
        <f>IF(OR($C80="",NOT(ISNUMBER($D80)),NOT(ISNUMBER($E80))),"",IF(AND(INDEX(AM_Index,MATCH($C80,AM_Type,0))=1,$K80="LTCG",$D80&lt;DATE(2024,7,23),Resident="Yes"),$F80*INDEX(CII_Val,MATCH(IF(MONTH($E80)&gt;=4,YEAR($E80),YEAR($E80)-1),CII_Year,0))/INDEX(CII_Val,MATCH(MAX(2001,IF(MONTH($D80)&gt;=4,YEAR($D80),YEAR($D80)-1)),CII_Year,0)),""))</f>
        <v/>
      </c>
      <c r="N80" s="74">
        <f>IF($C80="","",IF(AND(INDEX(AM_Grand,MATCH($C80,AM_Type,0))=1,$K80="LTCG",ISNUMBER($D80),$D80&lt;DATE(2018,2,1),$I80&lt;&gt;""),MAX($F80,MIN($I80,$G80)),$F80))</f>
        <v/>
      </c>
      <c r="O80" s="74">
        <f>IF($C80="","",$L80-$N80)</f>
        <v/>
      </c>
      <c r="P80" s="72">
        <f>IF($C80="","",IF(INDEX(AM_Cat,MATCH($C80,AM_Type,0))="SLABONLY","SLAB",IF($K80="","",IF($K80="STCG",IF(INDEX(AM_Cat,MATCH($C80,AM_Type,0))="EQ","EQ-ST","SLAB"),IF(INDEX(AM_Cat,MATCH($C80,AM_Type,0))="EQ","EQ-LT",IF(INDEX(AM_Cat,MATCH($C80,AM_Type,0))="PROP","PROP-LT","FLAT-LT"))))))</f>
        <v/>
      </c>
      <c r="Q80" s="74">
        <f>IF($C80="","",IF($P80="","",IF($P80="EQ-LT","pooled",IF($P80="EQ-ST",MAX(0,0.2*$O80),IF($P80="PROP-LT",IF($M80="",MAX(0,0.125*$O80),MAX(0,MIN(0.125*$O80,0.2*($L80-$M80)))),IF($P80="FLAT-LT",MAX(0,0.125*$O80),IF($P80="SLAB",MAX(0,Slab_Rate*$O80),"")))))))</f>
        <v/>
      </c>
    </row>
    <row r="81" ht="15" customHeight="1" s="37">
      <c r="A81" s="67">
        <f>IF($C81="","",ROW()-8)</f>
        <v/>
      </c>
      <c r="B81" s="75" t="n"/>
      <c r="C81" s="75" t="n"/>
      <c r="D81" s="76" t="n"/>
      <c r="E81" s="76" t="n"/>
      <c r="F81" s="77" t="n"/>
      <c r="G81" s="77" t="n"/>
      <c r="H81" s="77" t="n"/>
      <c r="I81" s="77" t="n"/>
      <c r="J81" s="67">
        <f>IF(OR($C81="",NOT(ISNUMBER($D81)),NOT(ISNUMBER($E81))),"",DATEDIF($D81,$E81,"m"))</f>
        <v/>
      </c>
      <c r="K81" s="67">
        <f>IF(OR($C81="",NOT(ISNUMBER($D81)),NOT(ISNUMBER($E81))),"",IF($E81&gt;EDATE($D81,INDEX(AM_LTm,MATCH($C81,AM_Type,0))),"LTCG","STCG"))</f>
        <v/>
      </c>
      <c r="L81" s="71">
        <f>IF($C81="","",$G81-$H81)</f>
        <v/>
      </c>
      <c r="M81" s="71">
        <f>IF(OR($C81="",NOT(ISNUMBER($D81)),NOT(ISNUMBER($E81))),"",IF(AND(INDEX(AM_Index,MATCH($C81,AM_Type,0))=1,$K81="LTCG",$D81&lt;DATE(2024,7,23),Resident="Yes"),$F81*INDEX(CII_Val,MATCH(IF(MONTH($E81)&gt;=4,YEAR($E81),YEAR($E81)-1),CII_Year,0))/INDEX(CII_Val,MATCH(MAX(2001,IF(MONTH($D81)&gt;=4,YEAR($D81),YEAR($D81)-1)),CII_Year,0)),""))</f>
        <v/>
      </c>
      <c r="N81" s="71">
        <f>IF($C81="","",IF(AND(INDEX(AM_Grand,MATCH($C81,AM_Type,0))=1,$K81="LTCG",ISNUMBER($D81),$D81&lt;DATE(2018,2,1),$I81&lt;&gt;""),MAX($F81,MIN($I81,$G81)),$F81))</f>
        <v/>
      </c>
      <c r="O81" s="71">
        <f>IF($C81="","",$L81-$N81)</f>
        <v/>
      </c>
      <c r="P81" s="67">
        <f>IF($C81="","",IF(INDEX(AM_Cat,MATCH($C81,AM_Type,0))="SLABONLY","SLAB",IF($K81="","",IF($K81="STCG",IF(INDEX(AM_Cat,MATCH($C81,AM_Type,0))="EQ","EQ-ST","SLAB"),IF(INDEX(AM_Cat,MATCH($C81,AM_Type,0))="EQ","EQ-LT",IF(INDEX(AM_Cat,MATCH($C81,AM_Type,0))="PROP","PROP-LT","FLAT-LT"))))))</f>
        <v/>
      </c>
      <c r="Q81" s="71">
        <f>IF($C81="","",IF($P81="","",IF($P81="EQ-LT","pooled",IF($P81="EQ-ST",MAX(0,0.2*$O81),IF($P81="PROP-LT",IF($M81="",MAX(0,0.125*$O81),MAX(0,MIN(0.125*$O81,0.2*($L81-$M81)))),IF($P81="FLAT-LT",MAX(0,0.125*$O81),IF($P81="SLAB",MAX(0,Slab_Rate*$O81),"")))))))</f>
        <v/>
      </c>
    </row>
    <row r="82" ht="15" customHeight="1" s="37">
      <c r="A82" s="72">
        <f>IF($C82="","",ROW()-8)</f>
        <v/>
      </c>
      <c r="B82" s="75" t="n"/>
      <c r="C82" s="75" t="n"/>
      <c r="D82" s="76" t="n"/>
      <c r="E82" s="76" t="n"/>
      <c r="F82" s="77" t="n"/>
      <c r="G82" s="77" t="n"/>
      <c r="H82" s="77" t="n"/>
      <c r="I82" s="77" t="n"/>
      <c r="J82" s="72">
        <f>IF(OR($C82="",NOT(ISNUMBER($D82)),NOT(ISNUMBER($E82))),"",DATEDIF($D82,$E82,"m"))</f>
        <v/>
      </c>
      <c r="K82" s="72">
        <f>IF(OR($C82="",NOT(ISNUMBER($D82)),NOT(ISNUMBER($E82))),"",IF($E82&gt;EDATE($D82,INDEX(AM_LTm,MATCH($C82,AM_Type,0))),"LTCG","STCG"))</f>
        <v/>
      </c>
      <c r="L82" s="74">
        <f>IF($C82="","",$G82-$H82)</f>
        <v/>
      </c>
      <c r="M82" s="74">
        <f>IF(OR($C82="",NOT(ISNUMBER($D82)),NOT(ISNUMBER($E82))),"",IF(AND(INDEX(AM_Index,MATCH($C82,AM_Type,0))=1,$K82="LTCG",$D82&lt;DATE(2024,7,23),Resident="Yes"),$F82*INDEX(CII_Val,MATCH(IF(MONTH($E82)&gt;=4,YEAR($E82),YEAR($E82)-1),CII_Year,0))/INDEX(CII_Val,MATCH(MAX(2001,IF(MONTH($D82)&gt;=4,YEAR($D82),YEAR($D82)-1)),CII_Year,0)),""))</f>
        <v/>
      </c>
      <c r="N82" s="74">
        <f>IF($C82="","",IF(AND(INDEX(AM_Grand,MATCH($C82,AM_Type,0))=1,$K82="LTCG",ISNUMBER($D82),$D82&lt;DATE(2018,2,1),$I82&lt;&gt;""),MAX($F82,MIN($I82,$G82)),$F82))</f>
        <v/>
      </c>
      <c r="O82" s="74">
        <f>IF($C82="","",$L82-$N82)</f>
        <v/>
      </c>
      <c r="P82" s="72">
        <f>IF($C82="","",IF(INDEX(AM_Cat,MATCH($C82,AM_Type,0))="SLABONLY","SLAB",IF($K82="","",IF($K82="STCG",IF(INDEX(AM_Cat,MATCH($C82,AM_Type,0))="EQ","EQ-ST","SLAB"),IF(INDEX(AM_Cat,MATCH($C82,AM_Type,0))="EQ","EQ-LT",IF(INDEX(AM_Cat,MATCH($C82,AM_Type,0))="PROP","PROP-LT","FLAT-LT"))))))</f>
        <v/>
      </c>
      <c r="Q82" s="74">
        <f>IF($C82="","",IF($P82="","",IF($P82="EQ-LT","pooled",IF($P82="EQ-ST",MAX(0,0.2*$O82),IF($P82="PROP-LT",IF($M82="",MAX(0,0.125*$O82),MAX(0,MIN(0.125*$O82,0.2*($L82-$M82)))),IF($P82="FLAT-LT",MAX(0,0.125*$O82),IF($P82="SLAB",MAX(0,Slab_Rate*$O82),"")))))))</f>
        <v/>
      </c>
    </row>
    <row r="83" ht="15" customHeight="1" s="37">
      <c r="A83" s="67">
        <f>IF($C83="","",ROW()-8)</f>
        <v/>
      </c>
      <c r="B83" s="75" t="n"/>
      <c r="C83" s="75" t="n"/>
      <c r="D83" s="76" t="n"/>
      <c r="E83" s="76" t="n"/>
      <c r="F83" s="77" t="n"/>
      <c r="G83" s="77" t="n"/>
      <c r="H83" s="77" t="n"/>
      <c r="I83" s="77" t="n"/>
      <c r="J83" s="67">
        <f>IF(OR($C83="",NOT(ISNUMBER($D83)),NOT(ISNUMBER($E83))),"",DATEDIF($D83,$E83,"m"))</f>
        <v/>
      </c>
      <c r="K83" s="67">
        <f>IF(OR($C83="",NOT(ISNUMBER($D83)),NOT(ISNUMBER($E83))),"",IF($E83&gt;EDATE($D83,INDEX(AM_LTm,MATCH($C83,AM_Type,0))),"LTCG","STCG"))</f>
        <v/>
      </c>
      <c r="L83" s="71">
        <f>IF($C83="","",$G83-$H83)</f>
        <v/>
      </c>
      <c r="M83" s="71">
        <f>IF(OR($C83="",NOT(ISNUMBER($D83)),NOT(ISNUMBER($E83))),"",IF(AND(INDEX(AM_Index,MATCH($C83,AM_Type,0))=1,$K83="LTCG",$D83&lt;DATE(2024,7,23),Resident="Yes"),$F83*INDEX(CII_Val,MATCH(IF(MONTH($E83)&gt;=4,YEAR($E83),YEAR($E83)-1),CII_Year,0))/INDEX(CII_Val,MATCH(MAX(2001,IF(MONTH($D83)&gt;=4,YEAR($D83),YEAR($D83)-1)),CII_Year,0)),""))</f>
        <v/>
      </c>
      <c r="N83" s="71">
        <f>IF($C83="","",IF(AND(INDEX(AM_Grand,MATCH($C83,AM_Type,0))=1,$K83="LTCG",ISNUMBER($D83),$D83&lt;DATE(2018,2,1),$I83&lt;&gt;""),MAX($F83,MIN($I83,$G83)),$F83))</f>
        <v/>
      </c>
      <c r="O83" s="71">
        <f>IF($C83="","",$L83-$N83)</f>
        <v/>
      </c>
      <c r="P83" s="67">
        <f>IF($C83="","",IF(INDEX(AM_Cat,MATCH($C83,AM_Type,0))="SLABONLY","SLAB",IF($K83="","",IF($K83="STCG",IF(INDEX(AM_Cat,MATCH($C83,AM_Type,0))="EQ","EQ-ST","SLAB"),IF(INDEX(AM_Cat,MATCH($C83,AM_Type,0))="EQ","EQ-LT",IF(INDEX(AM_Cat,MATCH($C83,AM_Type,0))="PROP","PROP-LT","FLAT-LT"))))))</f>
        <v/>
      </c>
      <c r="Q83" s="71">
        <f>IF($C83="","",IF($P83="","",IF($P83="EQ-LT","pooled",IF($P83="EQ-ST",MAX(0,0.2*$O83),IF($P83="PROP-LT",IF($M83="",MAX(0,0.125*$O83),MAX(0,MIN(0.125*$O83,0.2*($L83-$M83)))),IF($P83="FLAT-LT",MAX(0,0.125*$O83),IF($P83="SLAB",MAX(0,Slab_Rate*$O83),"")))))))</f>
        <v/>
      </c>
    </row>
    <row r="84" ht="15" customHeight="1" s="37">
      <c r="A84" s="72">
        <f>IF($C84="","",ROW()-8)</f>
        <v/>
      </c>
      <c r="B84" s="75" t="n"/>
      <c r="C84" s="75" t="n"/>
      <c r="D84" s="76" t="n"/>
      <c r="E84" s="76" t="n"/>
      <c r="F84" s="77" t="n"/>
      <c r="G84" s="77" t="n"/>
      <c r="H84" s="77" t="n"/>
      <c r="I84" s="77" t="n"/>
      <c r="J84" s="72">
        <f>IF(OR($C84="",NOT(ISNUMBER($D84)),NOT(ISNUMBER($E84))),"",DATEDIF($D84,$E84,"m"))</f>
        <v/>
      </c>
      <c r="K84" s="72">
        <f>IF(OR($C84="",NOT(ISNUMBER($D84)),NOT(ISNUMBER($E84))),"",IF($E84&gt;EDATE($D84,INDEX(AM_LTm,MATCH($C84,AM_Type,0))),"LTCG","STCG"))</f>
        <v/>
      </c>
      <c r="L84" s="74">
        <f>IF($C84="","",$G84-$H84)</f>
        <v/>
      </c>
      <c r="M84" s="74">
        <f>IF(OR($C84="",NOT(ISNUMBER($D84)),NOT(ISNUMBER($E84))),"",IF(AND(INDEX(AM_Index,MATCH($C84,AM_Type,0))=1,$K84="LTCG",$D84&lt;DATE(2024,7,23),Resident="Yes"),$F84*INDEX(CII_Val,MATCH(IF(MONTH($E84)&gt;=4,YEAR($E84),YEAR($E84)-1),CII_Year,0))/INDEX(CII_Val,MATCH(MAX(2001,IF(MONTH($D84)&gt;=4,YEAR($D84),YEAR($D84)-1)),CII_Year,0)),""))</f>
        <v/>
      </c>
      <c r="N84" s="74">
        <f>IF($C84="","",IF(AND(INDEX(AM_Grand,MATCH($C84,AM_Type,0))=1,$K84="LTCG",ISNUMBER($D84),$D84&lt;DATE(2018,2,1),$I84&lt;&gt;""),MAX($F84,MIN($I84,$G84)),$F84))</f>
        <v/>
      </c>
      <c r="O84" s="74">
        <f>IF($C84="","",$L84-$N84)</f>
        <v/>
      </c>
      <c r="P84" s="72">
        <f>IF($C84="","",IF(INDEX(AM_Cat,MATCH($C84,AM_Type,0))="SLABONLY","SLAB",IF($K84="","",IF($K84="STCG",IF(INDEX(AM_Cat,MATCH($C84,AM_Type,0))="EQ","EQ-ST","SLAB"),IF(INDEX(AM_Cat,MATCH($C84,AM_Type,0))="EQ","EQ-LT",IF(INDEX(AM_Cat,MATCH($C84,AM_Type,0))="PROP","PROP-LT","FLAT-LT"))))))</f>
        <v/>
      </c>
      <c r="Q84" s="74">
        <f>IF($C84="","",IF($P84="","",IF($P84="EQ-LT","pooled",IF($P84="EQ-ST",MAX(0,0.2*$O84),IF($P84="PROP-LT",IF($M84="",MAX(0,0.125*$O84),MAX(0,MIN(0.125*$O84,0.2*($L84-$M84)))),IF($P84="FLAT-LT",MAX(0,0.125*$O84),IF($P84="SLAB",MAX(0,Slab_Rate*$O84),"")))))))</f>
        <v/>
      </c>
    </row>
    <row r="85" ht="15" customHeight="1" s="37">
      <c r="A85" s="67">
        <f>IF($C85="","",ROW()-8)</f>
        <v/>
      </c>
      <c r="B85" s="75" t="n"/>
      <c r="C85" s="75" t="n"/>
      <c r="D85" s="76" t="n"/>
      <c r="E85" s="76" t="n"/>
      <c r="F85" s="77" t="n"/>
      <c r="G85" s="77" t="n"/>
      <c r="H85" s="77" t="n"/>
      <c r="I85" s="77" t="n"/>
      <c r="J85" s="67">
        <f>IF(OR($C85="",NOT(ISNUMBER($D85)),NOT(ISNUMBER($E85))),"",DATEDIF($D85,$E85,"m"))</f>
        <v/>
      </c>
      <c r="K85" s="67">
        <f>IF(OR($C85="",NOT(ISNUMBER($D85)),NOT(ISNUMBER($E85))),"",IF($E85&gt;EDATE($D85,INDEX(AM_LTm,MATCH($C85,AM_Type,0))),"LTCG","STCG"))</f>
        <v/>
      </c>
      <c r="L85" s="71">
        <f>IF($C85="","",$G85-$H85)</f>
        <v/>
      </c>
      <c r="M85" s="71">
        <f>IF(OR($C85="",NOT(ISNUMBER($D85)),NOT(ISNUMBER($E85))),"",IF(AND(INDEX(AM_Index,MATCH($C85,AM_Type,0))=1,$K85="LTCG",$D85&lt;DATE(2024,7,23),Resident="Yes"),$F85*INDEX(CII_Val,MATCH(IF(MONTH($E85)&gt;=4,YEAR($E85),YEAR($E85)-1),CII_Year,0))/INDEX(CII_Val,MATCH(MAX(2001,IF(MONTH($D85)&gt;=4,YEAR($D85),YEAR($D85)-1)),CII_Year,0)),""))</f>
        <v/>
      </c>
      <c r="N85" s="71">
        <f>IF($C85="","",IF(AND(INDEX(AM_Grand,MATCH($C85,AM_Type,0))=1,$K85="LTCG",ISNUMBER($D85),$D85&lt;DATE(2018,2,1),$I85&lt;&gt;""),MAX($F85,MIN($I85,$G85)),$F85))</f>
        <v/>
      </c>
      <c r="O85" s="71">
        <f>IF($C85="","",$L85-$N85)</f>
        <v/>
      </c>
      <c r="P85" s="67">
        <f>IF($C85="","",IF(INDEX(AM_Cat,MATCH($C85,AM_Type,0))="SLABONLY","SLAB",IF($K85="","",IF($K85="STCG",IF(INDEX(AM_Cat,MATCH($C85,AM_Type,0))="EQ","EQ-ST","SLAB"),IF(INDEX(AM_Cat,MATCH($C85,AM_Type,0))="EQ","EQ-LT",IF(INDEX(AM_Cat,MATCH($C85,AM_Type,0))="PROP","PROP-LT","FLAT-LT"))))))</f>
        <v/>
      </c>
      <c r="Q85" s="71">
        <f>IF($C85="","",IF($P85="","",IF($P85="EQ-LT","pooled",IF($P85="EQ-ST",MAX(0,0.2*$O85),IF($P85="PROP-LT",IF($M85="",MAX(0,0.125*$O85),MAX(0,MIN(0.125*$O85,0.2*($L85-$M85)))),IF($P85="FLAT-LT",MAX(0,0.125*$O85),IF($P85="SLAB",MAX(0,Slab_Rate*$O85),"")))))))</f>
        <v/>
      </c>
    </row>
    <row r="86" ht="15" customHeight="1" s="37">
      <c r="A86" s="72">
        <f>IF($C86="","",ROW()-8)</f>
        <v/>
      </c>
      <c r="B86" s="75" t="n"/>
      <c r="C86" s="75" t="n"/>
      <c r="D86" s="76" t="n"/>
      <c r="E86" s="76" t="n"/>
      <c r="F86" s="77" t="n"/>
      <c r="G86" s="77" t="n"/>
      <c r="H86" s="77" t="n"/>
      <c r="I86" s="77" t="n"/>
      <c r="J86" s="72">
        <f>IF(OR($C86="",NOT(ISNUMBER($D86)),NOT(ISNUMBER($E86))),"",DATEDIF($D86,$E86,"m"))</f>
        <v/>
      </c>
      <c r="K86" s="72">
        <f>IF(OR($C86="",NOT(ISNUMBER($D86)),NOT(ISNUMBER($E86))),"",IF($E86&gt;EDATE($D86,INDEX(AM_LTm,MATCH($C86,AM_Type,0))),"LTCG","STCG"))</f>
        <v/>
      </c>
      <c r="L86" s="74">
        <f>IF($C86="","",$G86-$H86)</f>
        <v/>
      </c>
      <c r="M86" s="74">
        <f>IF(OR($C86="",NOT(ISNUMBER($D86)),NOT(ISNUMBER($E86))),"",IF(AND(INDEX(AM_Index,MATCH($C86,AM_Type,0))=1,$K86="LTCG",$D86&lt;DATE(2024,7,23),Resident="Yes"),$F86*INDEX(CII_Val,MATCH(IF(MONTH($E86)&gt;=4,YEAR($E86),YEAR($E86)-1),CII_Year,0))/INDEX(CII_Val,MATCH(MAX(2001,IF(MONTH($D86)&gt;=4,YEAR($D86),YEAR($D86)-1)),CII_Year,0)),""))</f>
        <v/>
      </c>
      <c r="N86" s="74">
        <f>IF($C86="","",IF(AND(INDEX(AM_Grand,MATCH($C86,AM_Type,0))=1,$K86="LTCG",ISNUMBER($D86),$D86&lt;DATE(2018,2,1),$I86&lt;&gt;""),MAX($F86,MIN($I86,$G86)),$F86))</f>
        <v/>
      </c>
      <c r="O86" s="74">
        <f>IF($C86="","",$L86-$N86)</f>
        <v/>
      </c>
      <c r="P86" s="72">
        <f>IF($C86="","",IF(INDEX(AM_Cat,MATCH($C86,AM_Type,0))="SLABONLY","SLAB",IF($K86="","",IF($K86="STCG",IF(INDEX(AM_Cat,MATCH($C86,AM_Type,0))="EQ","EQ-ST","SLAB"),IF(INDEX(AM_Cat,MATCH($C86,AM_Type,0))="EQ","EQ-LT",IF(INDEX(AM_Cat,MATCH($C86,AM_Type,0))="PROP","PROP-LT","FLAT-LT"))))))</f>
        <v/>
      </c>
      <c r="Q86" s="74">
        <f>IF($C86="","",IF($P86="","",IF($P86="EQ-LT","pooled",IF($P86="EQ-ST",MAX(0,0.2*$O86),IF($P86="PROP-LT",IF($M86="",MAX(0,0.125*$O86),MAX(0,MIN(0.125*$O86,0.2*($L86-$M86)))),IF($P86="FLAT-LT",MAX(0,0.125*$O86),IF($P86="SLAB",MAX(0,Slab_Rate*$O86),"")))))))</f>
        <v/>
      </c>
    </row>
    <row r="87" ht="15" customHeight="1" s="37">
      <c r="A87" s="67">
        <f>IF($C87="","",ROW()-8)</f>
        <v/>
      </c>
      <c r="B87" s="75" t="n"/>
      <c r="C87" s="75" t="n"/>
      <c r="D87" s="76" t="n"/>
      <c r="E87" s="76" t="n"/>
      <c r="F87" s="77" t="n"/>
      <c r="G87" s="77" t="n"/>
      <c r="H87" s="77" t="n"/>
      <c r="I87" s="77" t="n"/>
      <c r="J87" s="67">
        <f>IF(OR($C87="",NOT(ISNUMBER($D87)),NOT(ISNUMBER($E87))),"",DATEDIF($D87,$E87,"m"))</f>
        <v/>
      </c>
      <c r="K87" s="67">
        <f>IF(OR($C87="",NOT(ISNUMBER($D87)),NOT(ISNUMBER($E87))),"",IF($E87&gt;EDATE($D87,INDEX(AM_LTm,MATCH($C87,AM_Type,0))),"LTCG","STCG"))</f>
        <v/>
      </c>
      <c r="L87" s="71">
        <f>IF($C87="","",$G87-$H87)</f>
        <v/>
      </c>
      <c r="M87" s="71">
        <f>IF(OR($C87="",NOT(ISNUMBER($D87)),NOT(ISNUMBER($E87))),"",IF(AND(INDEX(AM_Index,MATCH($C87,AM_Type,0))=1,$K87="LTCG",$D87&lt;DATE(2024,7,23),Resident="Yes"),$F87*INDEX(CII_Val,MATCH(IF(MONTH($E87)&gt;=4,YEAR($E87),YEAR($E87)-1),CII_Year,0))/INDEX(CII_Val,MATCH(MAX(2001,IF(MONTH($D87)&gt;=4,YEAR($D87),YEAR($D87)-1)),CII_Year,0)),""))</f>
        <v/>
      </c>
      <c r="N87" s="71">
        <f>IF($C87="","",IF(AND(INDEX(AM_Grand,MATCH($C87,AM_Type,0))=1,$K87="LTCG",ISNUMBER($D87),$D87&lt;DATE(2018,2,1),$I87&lt;&gt;""),MAX($F87,MIN($I87,$G87)),$F87))</f>
        <v/>
      </c>
      <c r="O87" s="71">
        <f>IF($C87="","",$L87-$N87)</f>
        <v/>
      </c>
      <c r="P87" s="67">
        <f>IF($C87="","",IF(INDEX(AM_Cat,MATCH($C87,AM_Type,0))="SLABONLY","SLAB",IF($K87="","",IF($K87="STCG",IF(INDEX(AM_Cat,MATCH($C87,AM_Type,0))="EQ","EQ-ST","SLAB"),IF(INDEX(AM_Cat,MATCH($C87,AM_Type,0))="EQ","EQ-LT",IF(INDEX(AM_Cat,MATCH($C87,AM_Type,0))="PROP","PROP-LT","FLAT-LT"))))))</f>
        <v/>
      </c>
      <c r="Q87" s="71">
        <f>IF($C87="","",IF($P87="","",IF($P87="EQ-LT","pooled",IF($P87="EQ-ST",MAX(0,0.2*$O87),IF($P87="PROP-LT",IF($M87="",MAX(0,0.125*$O87),MAX(0,MIN(0.125*$O87,0.2*($L87-$M87)))),IF($P87="FLAT-LT",MAX(0,0.125*$O87),IF($P87="SLAB",MAX(0,Slab_Rate*$O87),"")))))))</f>
        <v/>
      </c>
    </row>
    <row r="88" ht="15" customHeight="1" s="37">
      <c r="A88" s="72">
        <f>IF($C88="","",ROW()-8)</f>
        <v/>
      </c>
      <c r="B88" s="75" t="n"/>
      <c r="C88" s="75" t="n"/>
      <c r="D88" s="76" t="n"/>
      <c r="E88" s="76" t="n"/>
      <c r="F88" s="77" t="n"/>
      <c r="G88" s="77" t="n"/>
      <c r="H88" s="77" t="n"/>
      <c r="I88" s="77" t="n"/>
      <c r="J88" s="72">
        <f>IF(OR($C88="",NOT(ISNUMBER($D88)),NOT(ISNUMBER($E88))),"",DATEDIF($D88,$E88,"m"))</f>
        <v/>
      </c>
      <c r="K88" s="72">
        <f>IF(OR($C88="",NOT(ISNUMBER($D88)),NOT(ISNUMBER($E88))),"",IF($E88&gt;EDATE($D88,INDEX(AM_LTm,MATCH($C88,AM_Type,0))),"LTCG","STCG"))</f>
        <v/>
      </c>
      <c r="L88" s="74">
        <f>IF($C88="","",$G88-$H88)</f>
        <v/>
      </c>
      <c r="M88" s="74">
        <f>IF(OR($C88="",NOT(ISNUMBER($D88)),NOT(ISNUMBER($E88))),"",IF(AND(INDEX(AM_Index,MATCH($C88,AM_Type,0))=1,$K88="LTCG",$D88&lt;DATE(2024,7,23),Resident="Yes"),$F88*INDEX(CII_Val,MATCH(IF(MONTH($E88)&gt;=4,YEAR($E88),YEAR($E88)-1),CII_Year,0))/INDEX(CII_Val,MATCH(MAX(2001,IF(MONTH($D88)&gt;=4,YEAR($D88),YEAR($D88)-1)),CII_Year,0)),""))</f>
        <v/>
      </c>
      <c r="N88" s="74">
        <f>IF($C88="","",IF(AND(INDEX(AM_Grand,MATCH($C88,AM_Type,0))=1,$K88="LTCG",ISNUMBER($D88),$D88&lt;DATE(2018,2,1),$I88&lt;&gt;""),MAX($F88,MIN($I88,$G88)),$F88))</f>
        <v/>
      </c>
      <c r="O88" s="74">
        <f>IF($C88="","",$L88-$N88)</f>
        <v/>
      </c>
      <c r="P88" s="72">
        <f>IF($C88="","",IF(INDEX(AM_Cat,MATCH($C88,AM_Type,0))="SLABONLY","SLAB",IF($K88="","",IF($K88="STCG",IF(INDEX(AM_Cat,MATCH($C88,AM_Type,0))="EQ","EQ-ST","SLAB"),IF(INDEX(AM_Cat,MATCH($C88,AM_Type,0))="EQ","EQ-LT",IF(INDEX(AM_Cat,MATCH($C88,AM_Type,0))="PROP","PROP-LT","FLAT-LT"))))))</f>
        <v/>
      </c>
      <c r="Q88" s="74">
        <f>IF($C88="","",IF($P88="","",IF($P88="EQ-LT","pooled",IF($P88="EQ-ST",MAX(0,0.2*$O88),IF($P88="PROP-LT",IF($M88="",MAX(0,0.125*$O88),MAX(0,MIN(0.125*$O88,0.2*($L88-$M88)))),IF($P88="FLAT-LT",MAX(0,0.125*$O88),IF($P88="SLAB",MAX(0,Slab_Rate*$O88),"")))))))</f>
        <v/>
      </c>
    </row>
    <row r="89" ht="15" customHeight="1" s="37">
      <c r="A89" s="67">
        <f>IF($C89="","",ROW()-8)</f>
        <v/>
      </c>
      <c r="B89" s="75" t="n"/>
      <c r="C89" s="75" t="n"/>
      <c r="D89" s="76" t="n"/>
      <c r="E89" s="76" t="n"/>
      <c r="F89" s="77" t="n"/>
      <c r="G89" s="77" t="n"/>
      <c r="H89" s="77" t="n"/>
      <c r="I89" s="77" t="n"/>
      <c r="J89" s="67">
        <f>IF(OR($C89="",NOT(ISNUMBER($D89)),NOT(ISNUMBER($E89))),"",DATEDIF($D89,$E89,"m"))</f>
        <v/>
      </c>
      <c r="K89" s="67">
        <f>IF(OR($C89="",NOT(ISNUMBER($D89)),NOT(ISNUMBER($E89))),"",IF($E89&gt;EDATE($D89,INDEX(AM_LTm,MATCH($C89,AM_Type,0))),"LTCG","STCG"))</f>
        <v/>
      </c>
      <c r="L89" s="71">
        <f>IF($C89="","",$G89-$H89)</f>
        <v/>
      </c>
      <c r="M89" s="71">
        <f>IF(OR($C89="",NOT(ISNUMBER($D89)),NOT(ISNUMBER($E89))),"",IF(AND(INDEX(AM_Index,MATCH($C89,AM_Type,0))=1,$K89="LTCG",$D89&lt;DATE(2024,7,23),Resident="Yes"),$F89*INDEX(CII_Val,MATCH(IF(MONTH($E89)&gt;=4,YEAR($E89),YEAR($E89)-1),CII_Year,0))/INDEX(CII_Val,MATCH(MAX(2001,IF(MONTH($D89)&gt;=4,YEAR($D89),YEAR($D89)-1)),CII_Year,0)),""))</f>
        <v/>
      </c>
      <c r="N89" s="71">
        <f>IF($C89="","",IF(AND(INDEX(AM_Grand,MATCH($C89,AM_Type,0))=1,$K89="LTCG",ISNUMBER($D89),$D89&lt;DATE(2018,2,1),$I89&lt;&gt;""),MAX($F89,MIN($I89,$G89)),$F89))</f>
        <v/>
      </c>
      <c r="O89" s="71">
        <f>IF($C89="","",$L89-$N89)</f>
        <v/>
      </c>
      <c r="P89" s="67">
        <f>IF($C89="","",IF(INDEX(AM_Cat,MATCH($C89,AM_Type,0))="SLABONLY","SLAB",IF($K89="","",IF($K89="STCG",IF(INDEX(AM_Cat,MATCH($C89,AM_Type,0))="EQ","EQ-ST","SLAB"),IF(INDEX(AM_Cat,MATCH($C89,AM_Type,0))="EQ","EQ-LT",IF(INDEX(AM_Cat,MATCH($C89,AM_Type,0))="PROP","PROP-LT","FLAT-LT"))))))</f>
        <v/>
      </c>
      <c r="Q89" s="71">
        <f>IF($C89="","",IF($P89="","",IF($P89="EQ-LT","pooled",IF($P89="EQ-ST",MAX(0,0.2*$O89),IF($P89="PROP-LT",IF($M89="",MAX(0,0.125*$O89),MAX(0,MIN(0.125*$O89,0.2*($L89-$M89)))),IF($P89="FLAT-LT",MAX(0,0.125*$O89),IF($P89="SLAB",MAX(0,Slab_Rate*$O89),"")))))))</f>
        <v/>
      </c>
    </row>
    <row r="90" ht="15" customHeight="1" s="37">
      <c r="A90" s="72">
        <f>IF($C90="","",ROW()-8)</f>
        <v/>
      </c>
      <c r="B90" s="75" t="n"/>
      <c r="C90" s="75" t="n"/>
      <c r="D90" s="76" t="n"/>
      <c r="E90" s="76" t="n"/>
      <c r="F90" s="77" t="n"/>
      <c r="G90" s="77" t="n"/>
      <c r="H90" s="77" t="n"/>
      <c r="I90" s="77" t="n"/>
      <c r="J90" s="72">
        <f>IF(OR($C90="",NOT(ISNUMBER($D90)),NOT(ISNUMBER($E90))),"",DATEDIF($D90,$E90,"m"))</f>
        <v/>
      </c>
      <c r="K90" s="72">
        <f>IF(OR($C90="",NOT(ISNUMBER($D90)),NOT(ISNUMBER($E90))),"",IF($E90&gt;EDATE($D90,INDEX(AM_LTm,MATCH($C90,AM_Type,0))),"LTCG","STCG"))</f>
        <v/>
      </c>
      <c r="L90" s="74">
        <f>IF($C90="","",$G90-$H90)</f>
        <v/>
      </c>
      <c r="M90" s="74">
        <f>IF(OR($C90="",NOT(ISNUMBER($D90)),NOT(ISNUMBER($E90))),"",IF(AND(INDEX(AM_Index,MATCH($C90,AM_Type,0))=1,$K90="LTCG",$D90&lt;DATE(2024,7,23),Resident="Yes"),$F90*INDEX(CII_Val,MATCH(IF(MONTH($E90)&gt;=4,YEAR($E90),YEAR($E90)-1),CII_Year,0))/INDEX(CII_Val,MATCH(MAX(2001,IF(MONTH($D90)&gt;=4,YEAR($D90),YEAR($D90)-1)),CII_Year,0)),""))</f>
        <v/>
      </c>
      <c r="N90" s="74">
        <f>IF($C90="","",IF(AND(INDEX(AM_Grand,MATCH($C90,AM_Type,0))=1,$K90="LTCG",ISNUMBER($D90),$D90&lt;DATE(2018,2,1),$I90&lt;&gt;""),MAX($F90,MIN($I90,$G90)),$F90))</f>
        <v/>
      </c>
      <c r="O90" s="74">
        <f>IF($C90="","",$L90-$N90)</f>
        <v/>
      </c>
      <c r="P90" s="72">
        <f>IF($C90="","",IF(INDEX(AM_Cat,MATCH($C90,AM_Type,0))="SLABONLY","SLAB",IF($K90="","",IF($K90="STCG",IF(INDEX(AM_Cat,MATCH($C90,AM_Type,0))="EQ","EQ-ST","SLAB"),IF(INDEX(AM_Cat,MATCH($C90,AM_Type,0))="EQ","EQ-LT",IF(INDEX(AM_Cat,MATCH($C90,AM_Type,0))="PROP","PROP-LT","FLAT-LT"))))))</f>
        <v/>
      </c>
      <c r="Q90" s="74">
        <f>IF($C90="","",IF($P90="","",IF($P90="EQ-LT","pooled",IF($P90="EQ-ST",MAX(0,0.2*$O90),IF($P90="PROP-LT",IF($M90="",MAX(0,0.125*$O90),MAX(0,MIN(0.125*$O90,0.2*($L90-$M90)))),IF($P90="FLAT-LT",MAX(0,0.125*$O90),IF($P90="SLAB",MAX(0,Slab_Rate*$O90),"")))))))</f>
        <v/>
      </c>
    </row>
    <row r="91" ht="15" customHeight="1" s="37">
      <c r="A91" s="67">
        <f>IF($C91="","",ROW()-8)</f>
        <v/>
      </c>
      <c r="B91" s="75" t="n"/>
      <c r="C91" s="75" t="n"/>
      <c r="D91" s="76" t="n"/>
      <c r="E91" s="76" t="n"/>
      <c r="F91" s="77" t="n"/>
      <c r="G91" s="77" t="n"/>
      <c r="H91" s="77" t="n"/>
      <c r="I91" s="77" t="n"/>
      <c r="J91" s="67">
        <f>IF(OR($C91="",NOT(ISNUMBER($D91)),NOT(ISNUMBER($E91))),"",DATEDIF($D91,$E91,"m"))</f>
        <v/>
      </c>
      <c r="K91" s="67">
        <f>IF(OR($C91="",NOT(ISNUMBER($D91)),NOT(ISNUMBER($E91))),"",IF($E91&gt;EDATE($D91,INDEX(AM_LTm,MATCH($C91,AM_Type,0))),"LTCG","STCG"))</f>
        <v/>
      </c>
      <c r="L91" s="71">
        <f>IF($C91="","",$G91-$H91)</f>
        <v/>
      </c>
      <c r="M91" s="71">
        <f>IF(OR($C91="",NOT(ISNUMBER($D91)),NOT(ISNUMBER($E91))),"",IF(AND(INDEX(AM_Index,MATCH($C91,AM_Type,0))=1,$K91="LTCG",$D91&lt;DATE(2024,7,23),Resident="Yes"),$F91*INDEX(CII_Val,MATCH(IF(MONTH($E91)&gt;=4,YEAR($E91),YEAR($E91)-1),CII_Year,0))/INDEX(CII_Val,MATCH(MAX(2001,IF(MONTH($D91)&gt;=4,YEAR($D91),YEAR($D91)-1)),CII_Year,0)),""))</f>
        <v/>
      </c>
      <c r="N91" s="71">
        <f>IF($C91="","",IF(AND(INDEX(AM_Grand,MATCH($C91,AM_Type,0))=1,$K91="LTCG",ISNUMBER($D91),$D91&lt;DATE(2018,2,1),$I91&lt;&gt;""),MAX($F91,MIN($I91,$G91)),$F91))</f>
        <v/>
      </c>
      <c r="O91" s="71">
        <f>IF($C91="","",$L91-$N91)</f>
        <v/>
      </c>
      <c r="P91" s="67">
        <f>IF($C91="","",IF(INDEX(AM_Cat,MATCH($C91,AM_Type,0))="SLABONLY","SLAB",IF($K91="","",IF($K91="STCG",IF(INDEX(AM_Cat,MATCH($C91,AM_Type,0))="EQ","EQ-ST","SLAB"),IF(INDEX(AM_Cat,MATCH($C91,AM_Type,0))="EQ","EQ-LT",IF(INDEX(AM_Cat,MATCH($C91,AM_Type,0))="PROP","PROP-LT","FLAT-LT"))))))</f>
        <v/>
      </c>
      <c r="Q91" s="71">
        <f>IF($C91="","",IF($P91="","",IF($P91="EQ-LT","pooled",IF($P91="EQ-ST",MAX(0,0.2*$O91),IF($P91="PROP-LT",IF($M91="",MAX(0,0.125*$O91),MAX(0,MIN(0.125*$O91,0.2*($L91-$M91)))),IF($P91="FLAT-LT",MAX(0,0.125*$O91),IF($P91="SLAB",MAX(0,Slab_Rate*$O91),"")))))))</f>
        <v/>
      </c>
    </row>
    <row r="92" ht="15" customHeight="1" s="37">
      <c r="A92" s="72">
        <f>IF($C92="","",ROW()-8)</f>
        <v/>
      </c>
      <c r="B92" s="75" t="n"/>
      <c r="C92" s="75" t="n"/>
      <c r="D92" s="76" t="n"/>
      <c r="E92" s="76" t="n"/>
      <c r="F92" s="77" t="n"/>
      <c r="G92" s="77" t="n"/>
      <c r="H92" s="77" t="n"/>
      <c r="I92" s="77" t="n"/>
      <c r="J92" s="72">
        <f>IF(OR($C92="",NOT(ISNUMBER($D92)),NOT(ISNUMBER($E92))),"",DATEDIF($D92,$E92,"m"))</f>
        <v/>
      </c>
      <c r="K92" s="72">
        <f>IF(OR($C92="",NOT(ISNUMBER($D92)),NOT(ISNUMBER($E92))),"",IF($E92&gt;EDATE($D92,INDEX(AM_LTm,MATCH($C92,AM_Type,0))),"LTCG","STCG"))</f>
        <v/>
      </c>
      <c r="L92" s="74">
        <f>IF($C92="","",$G92-$H92)</f>
        <v/>
      </c>
      <c r="M92" s="74">
        <f>IF(OR($C92="",NOT(ISNUMBER($D92)),NOT(ISNUMBER($E92))),"",IF(AND(INDEX(AM_Index,MATCH($C92,AM_Type,0))=1,$K92="LTCG",$D92&lt;DATE(2024,7,23),Resident="Yes"),$F92*INDEX(CII_Val,MATCH(IF(MONTH($E92)&gt;=4,YEAR($E92),YEAR($E92)-1),CII_Year,0))/INDEX(CII_Val,MATCH(MAX(2001,IF(MONTH($D92)&gt;=4,YEAR($D92),YEAR($D92)-1)),CII_Year,0)),""))</f>
        <v/>
      </c>
      <c r="N92" s="74">
        <f>IF($C92="","",IF(AND(INDEX(AM_Grand,MATCH($C92,AM_Type,0))=1,$K92="LTCG",ISNUMBER($D92),$D92&lt;DATE(2018,2,1),$I92&lt;&gt;""),MAX($F92,MIN($I92,$G92)),$F92))</f>
        <v/>
      </c>
      <c r="O92" s="74">
        <f>IF($C92="","",$L92-$N92)</f>
        <v/>
      </c>
      <c r="P92" s="72">
        <f>IF($C92="","",IF(INDEX(AM_Cat,MATCH($C92,AM_Type,0))="SLABONLY","SLAB",IF($K92="","",IF($K92="STCG",IF(INDEX(AM_Cat,MATCH($C92,AM_Type,0))="EQ","EQ-ST","SLAB"),IF(INDEX(AM_Cat,MATCH($C92,AM_Type,0))="EQ","EQ-LT",IF(INDEX(AM_Cat,MATCH($C92,AM_Type,0))="PROP","PROP-LT","FLAT-LT"))))))</f>
        <v/>
      </c>
      <c r="Q92" s="74">
        <f>IF($C92="","",IF($P92="","",IF($P92="EQ-LT","pooled",IF($P92="EQ-ST",MAX(0,0.2*$O92),IF($P92="PROP-LT",IF($M92="",MAX(0,0.125*$O92),MAX(0,MIN(0.125*$O92,0.2*($L92-$M92)))),IF($P92="FLAT-LT",MAX(0,0.125*$O92),IF($P92="SLAB",MAX(0,Slab_Rate*$O92),"")))))))</f>
        <v/>
      </c>
    </row>
    <row r="93" ht="15" customHeight="1" s="37">
      <c r="A93" s="67">
        <f>IF($C93="","",ROW()-8)</f>
        <v/>
      </c>
      <c r="B93" s="75" t="n"/>
      <c r="C93" s="75" t="n"/>
      <c r="D93" s="76" t="n"/>
      <c r="E93" s="76" t="n"/>
      <c r="F93" s="77" t="n"/>
      <c r="G93" s="77" t="n"/>
      <c r="H93" s="77" t="n"/>
      <c r="I93" s="77" t="n"/>
      <c r="J93" s="67">
        <f>IF(OR($C93="",NOT(ISNUMBER($D93)),NOT(ISNUMBER($E93))),"",DATEDIF($D93,$E93,"m"))</f>
        <v/>
      </c>
      <c r="K93" s="67">
        <f>IF(OR($C93="",NOT(ISNUMBER($D93)),NOT(ISNUMBER($E93))),"",IF($E93&gt;EDATE($D93,INDEX(AM_LTm,MATCH($C93,AM_Type,0))),"LTCG","STCG"))</f>
        <v/>
      </c>
      <c r="L93" s="71">
        <f>IF($C93="","",$G93-$H93)</f>
        <v/>
      </c>
      <c r="M93" s="71">
        <f>IF(OR($C93="",NOT(ISNUMBER($D93)),NOT(ISNUMBER($E93))),"",IF(AND(INDEX(AM_Index,MATCH($C93,AM_Type,0))=1,$K93="LTCG",$D93&lt;DATE(2024,7,23),Resident="Yes"),$F93*INDEX(CII_Val,MATCH(IF(MONTH($E93)&gt;=4,YEAR($E93),YEAR($E93)-1),CII_Year,0))/INDEX(CII_Val,MATCH(MAX(2001,IF(MONTH($D93)&gt;=4,YEAR($D93),YEAR($D93)-1)),CII_Year,0)),""))</f>
        <v/>
      </c>
      <c r="N93" s="71">
        <f>IF($C93="","",IF(AND(INDEX(AM_Grand,MATCH($C93,AM_Type,0))=1,$K93="LTCG",ISNUMBER($D93),$D93&lt;DATE(2018,2,1),$I93&lt;&gt;""),MAX($F93,MIN($I93,$G93)),$F93))</f>
        <v/>
      </c>
      <c r="O93" s="71">
        <f>IF($C93="","",$L93-$N93)</f>
        <v/>
      </c>
      <c r="P93" s="67">
        <f>IF($C93="","",IF(INDEX(AM_Cat,MATCH($C93,AM_Type,0))="SLABONLY","SLAB",IF($K93="","",IF($K93="STCG",IF(INDEX(AM_Cat,MATCH($C93,AM_Type,0))="EQ","EQ-ST","SLAB"),IF(INDEX(AM_Cat,MATCH($C93,AM_Type,0))="EQ","EQ-LT",IF(INDEX(AM_Cat,MATCH($C93,AM_Type,0))="PROP","PROP-LT","FLAT-LT"))))))</f>
        <v/>
      </c>
      <c r="Q93" s="71">
        <f>IF($C93="","",IF($P93="","",IF($P93="EQ-LT","pooled",IF($P93="EQ-ST",MAX(0,0.2*$O93),IF($P93="PROP-LT",IF($M93="",MAX(0,0.125*$O93),MAX(0,MIN(0.125*$O93,0.2*($L93-$M93)))),IF($P93="FLAT-LT",MAX(0,0.125*$O93),IF($P93="SLAB",MAX(0,Slab_Rate*$O93),"")))))))</f>
        <v/>
      </c>
    </row>
    <row r="94" ht="15" customHeight="1" s="37">
      <c r="A94" s="72">
        <f>IF($C94="","",ROW()-8)</f>
        <v/>
      </c>
      <c r="B94" s="75" t="n"/>
      <c r="C94" s="75" t="n"/>
      <c r="D94" s="76" t="n"/>
      <c r="E94" s="76" t="n"/>
      <c r="F94" s="77" t="n"/>
      <c r="G94" s="77" t="n"/>
      <c r="H94" s="77" t="n"/>
      <c r="I94" s="77" t="n"/>
      <c r="J94" s="72">
        <f>IF(OR($C94="",NOT(ISNUMBER($D94)),NOT(ISNUMBER($E94))),"",DATEDIF($D94,$E94,"m"))</f>
        <v/>
      </c>
      <c r="K94" s="72">
        <f>IF(OR($C94="",NOT(ISNUMBER($D94)),NOT(ISNUMBER($E94))),"",IF($E94&gt;EDATE($D94,INDEX(AM_LTm,MATCH($C94,AM_Type,0))),"LTCG","STCG"))</f>
        <v/>
      </c>
      <c r="L94" s="74">
        <f>IF($C94="","",$G94-$H94)</f>
        <v/>
      </c>
      <c r="M94" s="74">
        <f>IF(OR($C94="",NOT(ISNUMBER($D94)),NOT(ISNUMBER($E94))),"",IF(AND(INDEX(AM_Index,MATCH($C94,AM_Type,0))=1,$K94="LTCG",$D94&lt;DATE(2024,7,23),Resident="Yes"),$F94*INDEX(CII_Val,MATCH(IF(MONTH($E94)&gt;=4,YEAR($E94),YEAR($E94)-1),CII_Year,0))/INDEX(CII_Val,MATCH(MAX(2001,IF(MONTH($D94)&gt;=4,YEAR($D94),YEAR($D94)-1)),CII_Year,0)),""))</f>
        <v/>
      </c>
      <c r="N94" s="74">
        <f>IF($C94="","",IF(AND(INDEX(AM_Grand,MATCH($C94,AM_Type,0))=1,$K94="LTCG",ISNUMBER($D94),$D94&lt;DATE(2018,2,1),$I94&lt;&gt;""),MAX($F94,MIN($I94,$G94)),$F94))</f>
        <v/>
      </c>
      <c r="O94" s="74">
        <f>IF($C94="","",$L94-$N94)</f>
        <v/>
      </c>
      <c r="P94" s="72">
        <f>IF($C94="","",IF(INDEX(AM_Cat,MATCH($C94,AM_Type,0))="SLABONLY","SLAB",IF($K94="","",IF($K94="STCG",IF(INDEX(AM_Cat,MATCH($C94,AM_Type,0))="EQ","EQ-ST","SLAB"),IF(INDEX(AM_Cat,MATCH($C94,AM_Type,0))="EQ","EQ-LT",IF(INDEX(AM_Cat,MATCH($C94,AM_Type,0))="PROP","PROP-LT","FLAT-LT"))))))</f>
        <v/>
      </c>
      <c r="Q94" s="74">
        <f>IF($C94="","",IF($P94="","",IF($P94="EQ-LT","pooled",IF($P94="EQ-ST",MAX(0,0.2*$O94),IF($P94="PROP-LT",IF($M94="",MAX(0,0.125*$O94),MAX(0,MIN(0.125*$O94,0.2*($L94-$M94)))),IF($P94="FLAT-LT",MAX(0,0.125*$O94),IF($P94="SLAB",MAX(0,Slab_Rate*$O94),"")))))))</f>
        <v/>
      </c>
    </row>
    <row r="95" ht="15" customHeight="1" s="37">
      <c r="A95" s="67">
        <f>IF($C95="","",ROW()-8)</f>
        <v/>
      </c>
      <c r="B95" s="75" t="n"/>
      <c r="C95" s="75" t="n"/>
      <c r="D95" s="76" t="n"/>
      <c r="E95" s="76" t="n"/>
      <c r="F95" s="77" t="n"/>
      <c r="G95" s="77" t="n"/>
      <c r="H95" s="77" t="n"/>
      <c r="I95" s="77" t="n"/>
      <c r="J95" s="67">
        <f>IF(OR($C95="",NOT(ISNUMBER($D95)),NOT(ISNUMBER($E95))),"",DATEDIF($D95,$E95,"m"))</f>
        <v/>
      </c>
      <c r="K95" s="67">
        <f>IF(OR($C95="",NOT(ISNUMBER($D95)),NOT(ISNUMBER($E95))),"",IF($E95&gt;EDATE($D95,INDEX(AM_LTm,MATCH($C95,AM_Type,0))),"LTCG","STCG"))</f>
        <v/>
      </c>
      <c r="L95" s="71">
        <f>IF($C95="","",$G95-$H95)</f>
        <v/>
      </c>
      <c r="M95" s="71">
        <f>IF(OR($C95="",NOT(ISNUMBER($D95)),NOT(ISNUMBER($E95))),"",IF(AND(INDEX(AM_Index,MATCH($C95,AM_Type,0))=1,$K95="LTCG",$D95&lt;DATE(2024,7,23),Resident="Yes"),$F95*INDEX(CII_Val,MATCH(IF(MONTH($E95)&gt;=4,YEAR($E95),YEAR($E95)-1),CII_Year,0))/INDEX(CII_Val,MATCH(MAX(2001,IF(MONTH($D95)&gt;=4,YEAR($D95),YEAR($D95)-1)),CII_Year,0)),""))</f>
        <v/>
      </c>
      <c r="N95" s="71">
        <f>IF($C95="","",IF(AND(INDEX(AM_Grand,MATCH($C95,AM_Type,0))=1,$K95="LTCG",ISNUMBER($D95),$D95&lt;DATE(2018,2,1),$I95&lt;&gt;""),MAX($F95,MIN($I95,$G95)),$F95))</f>
        <v/>
      </c>
      <c r="O95" s="71">
        <f>IF($C95="","",$L95-$N95)</f>
        <v/>
      </c>
      <c r="P95" s="67">
        <f>IF($C95="","",IF(INDEX(AM_Cat,MATCH($C95,AM_Type,0))="SLABONLY","SLAB",IF($K95="","",IF($K95="STCG",IF(INDEX(AM_Cat,MATCH($C95,AM_Type,0))="EQ","EQ-ST","SLAB"),IF(INDEX(AM_Cat,MATCH($C95,AM_Type,0))="EQ","EQ-LT",IF(INDEX(AM_Cat,MATCH($C95,AM_Type,0))="PROP","PROP-LT","FLAT-LT"))))))</f>
        <v/>
      </c>
      <c r="Q95" s="71">
        <f>IF($C95="","",IF($P95="","",IF($P95="EQ-LT","pooled",IF($P95="EQ-ST",MAX(0,0.2*$O95),IF($P95="PROP-LT",IF($M95="",MAX(0,0.125*$O95),MAX(0,MIN(0.125*$O95,0.2*($L95-$M95)))),IF($P95="FLAT-LT",MAX(0,0.125*$O95),IF($P95="SLAB",MAX(0,Slab_Rate*$O95),"")))))))</f>
        <v/>
      </c>
    </row>
    <row r="96" ht="15" customHeight="1" s="37">
      <c r="A96" s="72">
        <f>IF($C96="","",ROW()-8)</f>
        <v/>
      </c>
      <c r="B96" s="75" t="n"/>
      <c r="C96" s="75" t="n"/>
      <c r="D96" s="76" t="n"/>
      <c r="E96" s="76" t="n"/>
      <c r="F96" s="77" t="n"/>
      <c r="G96" s="77" t="n"/>
      <c r="H96" s="77" t="n"/>
      <c r="I96" s="77" t="n"/>
      <c r="J96" s="72">
        <f>IF(OR($C96="",NOT(ISNUMBER($D96)),NOT(ISNUMBER($E96))),"",DATEDIF($D96,$E96,"m"))</f>
        <v/>
      </c>
      <c r="K96" s="72">
        <f>IF(OR($C96="",NOT(ISNUMBER($D96)),NOT(ISNUMBER($E96))),"",IF($E96&gt;EDATE($D96,INDEX(AM_LTm,MATCH($C96,AM_Type,0))),"LTCG","STCG"))</f>
        <v/>
      </c>
      <c r="L96" s="74">
        <f>IF($C96="","",$G96-$H96)</f>
        <v/>
      </c>
      <c r="M96" s="74">
        <f>IF(OR($C96="",NOT(ISNUMBER($D96)),NOT(ISNUMBER($E96))),"",IF(AND(INDEX(AM_Index,MATCH($C96,AM_Type,0))=1,$K96="LTCG",$D96&lt;DATE(2024,7,23),Resident="Yes"),$F96*INDEX(CII_Val,MATCH(IF(MONTH($E96)&gt;=4,YEAR($E96),YEAR($E96)-1),CII_Year,0))/INDEX(CII_Val,MATCH(MAX(2001,IF(MONTH($D96)&gt;=4,YEAR($D96),YEAR($D96)-1)),CII_Year,0)),""))</f>
        <v/>
      </c>
      <c r="N96" s="74">
        <f>IF($C96="","",IF(AND(INDEX(AM_Grand,MATCH($C96,AM_Type,0))=1,$K96="LTCG",ISNUMBER($D96),$D96&lt;DATE(2018,2,1),$I96&lt;&gt;""),MAX($F96,MIN($I96,$G96)),$F96))</f>
        <v/>
      </c>
      <c r="O96" s="74">
        <f>IF($C96="","",$L96-$N96)</f>
        <v/>
      </c>
      <c r="P96" s="72">
        <f>IF($C96="","",IF(INDEX(AM_Cat,MATCH($C96,AM_Type,0))="SLABONLY","SLAB",IF($K96="","",IF($K96="STCG",IF(INDEX(AM_Cat,MATCH($C96,AM_Type,0))="EQ","EQ-ST","SLAB"),IF(INDEX(AM_Cat,MATCH($C96,AM_Type,0))="EQ","EQ-LT",IF(INDEX(AM_Cat,MATCH($C96,AM_Type,0))="PROP","PROP-LT","FLAT-LT"))))))</f>
        <v/>
      </c>
      <c r="Q96" s="74">
        <f>IF($C96="","",IF($P96="","",IF($P96="EQ-LT","pooled",IF($P96="EQ-ST",MAX(0,0.2*$O96),IF($P96="PROP-LT",IF($M96="",MAX(0,0.125*$O96),MAX(0,MIN(0.125*$O96,0.2*($L96-$M96)))),IF($P96="FLAT-LT",MAX(0,0.125*$O96),IF($P96="SLAB",MAX(0,Slab_Rate*$O96),"")))))))</f>
        <v/>
      </c>
    </row>
    <row r="97" ht="15" customHeight="1" s="37">
      <c r="A97" s="67">
        <f>IF($C97="","",ROW()-8)</f>
        <v/>
      </c>
      <c r="B97" s="75" t="n"/>
      <c r="C97" s="75" t="n"/>
      <c r="D97" s="76" t="n"/>
      <c r="E97" s="76" t="n"/>
      <c r="F97" s="77" t="n"/>
      <c r="G97" s="77" t="n"/>
      <c r="H97" s="77" t="n"/>
      <c r="I97" s="77" t="n"/>
      <c r="J97" s="67">
        <f>IF(OR($C97="",NOT(ISNUMBER($D97)),NOT(ISNUMBER($E97))),"",DATEDIF($D97,$E97,"m"))</f>
        <v/>
      </c>
      <c r="K97" s="67">
        <f>IF(OR($C97="",NOT(ISNUMBER($D97)),NOT(ISNUMBER($E97))),"",IF($E97&gt;EDATE($D97,INDEX(AM_LTm,MATCH($C97,AM_Type,0))),"LTCG","STCG"))</f>
        <v/>
      </c>
      <c r="L97" s="71">
        <f>IF($C97="","",$G97-$H97)</f>
        <v/>
      </c>
      <c r="M97" s="71">
        <f>IF(OR($C97="",NOT(ISNUMBER($D97)),NOT(ISNUMBER($E97))),"",IF(AND(INDEX(AM_Index,MATCH($C97,AM_Type,0))=1,$K97="LTCG",$D97&lt;DATE(2024,7,23),Resident="Yes"),$F97*INDEX(CII_Val,MATCH(IF(MONTH($E97)&gt;=4,YEAR($E97),YEAR($E97)-1),CII_Year,0))/INDEX(CII_Val,MATCH(MAX(2001,IF(MONTH($D97)&gt;=4,YEAR($D97),YEAR($D97)-1)),CII_Year,0)),""))</f>
        <v/>
      </c>
      <c r="N97" s="71">
        <f>IF($C97="","",IF(AND(INDEX(AM_Grand,MATCH($C97,AM_Type,0))=1,$K97="LTCG",ISNUMBER($D97),$D97&lt;DATE(2018,2,1),$I97&lt;&gt;""),MAX($F97,MIN($I97,$G97)),$F97))</f>
        <v/>
      </c>
      <c r="O97" s="71">
        <f>IF($C97="","",$L97-$N97)</f>
        <v/>
      </c>
      <c r="P97" s="67">
        <f>IF($C97="","",IF(INDEX(AM_Cat,MATCH($C97,AM_Type,0))="SLABONLY","SLAB",IF($K97="","",IF($K97="STCG",IF(INDEX(AM_Cat,MATCH($C97,AM_Type,0))="EQ","EQ-ST","SLAB"),IF(INDEX(AM_Cat,MATCH($C97,AM_Type,0))="EQ","EQ-LT",IF(INDEX(AM_Cat,MATCH($C97,AM_Type,0))="PROP","PROP-LT","FLAT-LT"))))))</f>
        <v/>
      </c>
      <c r="Q97" s="71">
        <f>IF($C97="","",IF($P97="","",IF($P97="EQ-LT","pooled",IF($P97="EQ-ST",MAX(0,0.2*$O97),IF($P97="PROP-LT",IF($M97="",MAX(0,0.125*$O97),MAX(0,MIN(0.125*$O97,0.2*($L97-$M97)))),IF($P97="FLAT-LT",MAX(0,0.125*$O97),IF($P97="SLAB",MAX(0,Slab_Rate*$O97),"")))))))</f>
        <v/>
      </c>
    </row>
    <row r="98" ht="15" customHeight="1" s="37">
      <c r="A98" s="72">
        <f>IF($C98="","",ROW()-8)</f>
        <v/>
      </c>
      <c r="B98" s="75" t="n"/>
      <c r="C98" s="75" t="n"/>
      <c r="D98" s="76" t="n"/>
      <c r="E98" s="76" t="n"/>
      <c r="F98" s="77" t="n"/>
      <c r="G98" s="77" t="n"/>
      <c r="H98" s="77" t="n"/>
      <c r="I98" s="77" t="n"/>
      <c r="J98" s="72">
        <f>IF(OR($C98="",NOT(ISNUMBER($D98)),NOT(ISNUMBER($E98))),"",DATEDIF($D98,$E98,"m"))</f>
        <v/>
      </c>
      <c r="K98" s="72">
        <f>IF(OR($C98="",NOT(ISNUMBER($D98)),NOT(ISNUMBER($E98))),"",IF($E98&gt;EDATE($D98,INDEX(AM_LTm,MATCH($C98,AM_Type,0))),"LTCG","STCG"))</f>
        <v/>
      </c>
      <c r="L98" s="74">
        <f>IF($C98="","",$G98-$H98)</f>
        <v/>
      </c>
      <c r="M98" s="74">
        <f>IF(OR($C98="",NOT(ISNUMBER($D98)),NOT(ISNUMBER($E98))),"",IF(AND(INDEX(AM_Index,MATCH($C98,AM_Type,0))=1,$K98="LTCG",$D98&lt;DATE(2024,7,23),Resident="Yes"),$F98*INDEX(CII_Val,MATCH(IF(MONTH($E98)&gt;=4,YEAR($E98),YEAR($E98)-1),CII_Year,0))/INDEX(CII_Val,MATCH(MAX(2001,IF(MONTH($D98)&gt;=4,YEAR($D98),YEAR($D98)-1)),CII_Year,0)),""))</f>
        <v/>
      </c>
      <c r="N98" s="74">
        <f>IF($C98="","",IF(AND(INDEX(AM_Grand,MATCH($C98,AM_Type,0))=1,$K98="LTCG",ISNUMBER($D98),$D98&lt;DATE(2018,2,1),$I98&lt;&gt;""),MAX($F98,MIN($I98,$G98)),$F98))</f>
        <v/>
      </c>
      <c r="O98" s="74">
        <f>IF($C98="","",$L98-$N98)</f>
        <v/>
      </c>
      <c r="P98" s="72">
        <f>IF($C98="","",IF(INDEX(AM_Cat,MATCH($C98,AM_Type,0))="SLABONLY","SLAB",IF($K98="","",IF($K98="STCG",IF(INDEX(AM_Cat,MATCH($C98,AM_Type,0))="EQ","EQ-ST","SLAB"),IF(INDEX(AM_Cat,MATCH($C98,AM_Type,0))="EQ","EQ-LT",IF(INDEX(AM_Cat,MATCH($C98,AM_Type,0))="PROP","PROP-LT","FLAT-LT"))))))</f>
        <v/>
      </c>
      <c r="Q98" s="74">
        <f>IF($C98="","",IF($P98="","",IF($P98="EQ-LT","pooled",IF($P98="EQ-ST",MAX(0,0.2*$O98),IF($P98="PROP-LT",IF($M98="",MAX(0,0.125*$O98),MAX(0,MIN(0.125*$O98,0.2*($L98-$M98)))),IF($P98="FLAT-LT",MAX(0,0.125*$O98),IF($P98="SLAB",MAX(0,Slab_Rate*$O98),"")))))))</f>
        <v/>
      </c>
    </row>
    <row r="99" ht="15" customHeight="1" s="37">
      <c r="A99" s="67">
        <f>IF($C99="","",ROW()-8)</f>
        <v/>
      </c>
      <c r="B99" s="75" t="n"/>
      <c r="C99" s="75" t="n"/>
      <c r="D99" s="76" t="n"/>
      <c r="E99" s="76" t="n"/>
      <c r="F99" s="77" t="n"/>
      <c r="G99" s="77" t="n"/>
      <c r="H99" s="77" t="n"/>
      <c r="I99" s="77" t="n"/>
      <c r="J99" s="67">
        <f>IF(OR($C99="",NOT(ISNUMBER($D99)),NOT(ISNUMBER($E99))),"",DATEDIF($D99,$E99,"m"))</f>
        <v/>
      </c>
      <c r="K99" s="67">
        <f>IF(OR($C99="",NOT(ISNUMBER($D99)),NOT(ISNUMBER($E99))),"",IF($E99&gt;EDATE($D99,INDEX(AM_LTm,MATCH($C99,AM_Type,0))),"LTCG","STCG"))</f>
        <v/>
      </c>
      <c r="L99" s="71">
        <f>IF($C99="","",$G99-$H99)</f>
        <v/>
      </c>
      <c r="M99" s="71">
        <f>IF(OR($C99="",NOT(ISNUMBER($D99)),NOT(ISNUMBER($E99))),"",IF(AND(INDEX(AM_Index,MATCH($C99,AM_Type,0))=1,$K99="LTCG",$D99&lt;DATE(2024,7,23),Resident="Yes"),$F99*INDEX(CII_Val,MATCH(IF(MONTH($E99)&gt;=4,YEAR($E99),YEAR($E99)-1),CII_Year,0))/INDEX(CII_Val,MATCH(MAX(2001,IF(MONTH($D99)&gt;=4,YEAR($D99),YEAR($D99)-1)),CII_Year,0)),""))</f>
        <v/>
      </c>
      <c r="N99" s="71">
        <f>IF($C99="","",IF(AND(INDEX(AM_Grand,MATCH($C99,AM_Type,0))=1,$K99="LTCG",ISNUMBER($D99),$D99&lt;DATE(2018,2,1),$I99&lt;&gt;""),MAX($F99,MIN($I99,$G99)),$F99))</f>
        <v/>
      </c>
      <c r="O99" s="71">
        <f>IF($C99="","",$L99-$N99)</f>
        <v/>
      </c>
      <c r="P99" s="67">
        <f>IF($C99="","",IF(INDEX(AM_Cat,MATCH($C99,AM_Type,0))="SLABONLY","SLAB",IF($K99="","",IF($K99="STCG",IF(INDEX(AM_Cat,MATCH($C99,AM_Type,0))="EQ","EQ-ST","SLAB"),IF(INDEX(AM_Cat,MATCH($C99,AM_Type,0))="EQ","EQ-LT",IF(INDEX(AM_Cat,MATCH($C99,AM_Type,0))="PROP","PROP-LT","FLAT-LT"))))))</f>
        <v/>
      </c>
      <c r="Q99" s="71">
        <f>IF($C99="","",IF($P99="","",IF($P99="EQ-LT","pooled",IF($P99="EQ-ST",MAX(0,0.2*$O99),IF($P99="PROP-LT",IF($M99="",MAX(0,0.125*$O99),MAX(0,MIN(0.125*$O99,0.2*($L99-$M99)))),IF($P99="FLAT-LT",MAX(0,0.125*$O99),IF($P99="SLAB",MAX(0,Slab_Rate*$O99),"")))))))</f>
        <v/>
      </c>
    </row>
    <row r="100" ht="15" customHeight="1" s="37">
      <c r="A100" s="72">
        <f>IF($C100="","",ROW()-8)</f>
        <v/>
      </c>
      <c r="B100" s="75" t="n"/>
      <c r="C100" s="75" t="n"/>
      <c r="D100" s="76" t="n"/>
      <c r="E100" s="76" t="n"/>
      <c r="F100" s="77" t="n"/>
      <c r="G100" s="77" t="n"/>
      <c r="H100" s="77" t="n"/>
      <c r="I100" s="77" t="n"/>
      <c r="J100" s="72">
        <f>IF(OR($C100="",NOT(ISNUMBER($D100)),NOT(ISNUMBER($E100))),"",DATEDIF($D100,$E100,"m"))</f>
        <v/>
      </c>
      <c r="K100" s="72">
        <f>IF(OR($C100="",NOT(ISNUMBER($D100)),NOT(ISNUMBER($E100))),"",IF($E100&gt;EDATE($D100,INDEX(AM_LTm,MATCH($C100,AM_Type,0))),"LTCG","STCG"))</f>
        <v/>
      </c>
      <c r="L100" s="74">
        <f>IF($C100="","",$G100-$H100)</f>
        <v/>
      </c>
      <c r="M100" s="74">
        <f>IF(OR($C100="",NOT(ISNUMBER($D100)),NOT(ISNUMBER($E100))),"",IF(AND(INDEX(AM_Index,MATCH($C100,AM_Type,0))=1,$K100="LTCG",$D100&lt;DATE(2024,7,23),Resident="Yes"),$F100*INDEX(CII_Val,MATCH(IF(MONTH($E100)&gt;=4,YEAR($E100),YEAR($E100)-1),CII_Year,0))/INDEX(CII_Val,MATCH(MAX(2001,IF(MONTH($D100)&gt;=4,YEAR($D100),YEAR($D100)-1)),CII_Year,0)),""))</f>
        <v/>
      </c>
      <c r="N100" s="74">
        <f>IF($C100="","",IF(AND(INDEX(AM_Grand,MATCH($C100,AM_Type,0))=1,$K100="LTCG",ISNUMBER($D100),$D100&lt;DATE(2018,2,1),$I100&lt;&gt;""),MAX($F100,MIN($I100,$G100)),$F100))</f>
        <v/>
      </c>
      <c r="O100" s="74">
        <f>IF($C100="","",$L100-$N100)</f>
        <v/>
      </c>
      <c r="P100" s="72">
        <f>IF($C100="","",IF(INDEX(AM_Cat,MATCH($C100,AM_Type,0))="SLABONLY","SLAB",IF($K100="","",IF($K100="STCG",IF(INDEX(AM_Cat,MATCH($C100,AM_Type,0))="EQ","EQ-ST","SLAB"),IF(INDEX(AM_Cat,MATCH($C100,AM_Type,0))="EQ","EQ-LT",IF(INDEX(AM_Cat,MATCH($C100,AM_Type,0))="PROP","PROP-LT","FLAT-LT"))))))</f>
        <v/>
      </c>
      <c r="Q100" s="74">
        <f>IF($C100="","",IF($P100="","",IF($P100="EQ-LT","pooled",IF($P100="EQ-ST",MAX(0,0.2*$O100),IF($P100="PROP-LT",IF($M100="",MAX(0,0.125*$O100),MAX(0,MIN(0.125*$O100,0.2*($L100-$M100)))),IF($P100="FLAT-LT",MAX(0,0.125*$O100),IF($P100="SLAB",MAX(0,Slab_Rate*$O100),"")))))))</f>
        <v/>
      </c>
    </row>
    <row r="101" ht="15" customHeight="1" s="37">
      <c r="A101" s="67">
        <f>IF($C101="","",ROW()-8)</f>
        <v/>
      </c>
      <c r="B101" s="75" t="n"/>
      <c r="C101" s="75" t="n"/>
      <c r="D101" s="76" t="n"/>
      <c r="E101" s="76" t="n"/>
      <c r="F101" s="77" t="n"/>
      <c r="G101" s="77" t="n"/>
      <c r="H101" s="77" t="n"/>
      <c r="I101" s="77" t="n"/>
      <c r="J101" s="67">
        <f>IF(OR($C101="",NOT(ISNUMBER($D101)),NOT(ISNUMBER($E101))),"",DATEDIF($D101,$E101,"m"))</f>
        <v/>
      </c>
      <c r="K101" s="67">
        <f>IF(OR($C101="",NOT(ISNUMBER($D101)),NOT(ISNUMBER($E101))),"",IF($E101&gt;EDATE($D101,INDEX(AM_LTm,MATCH($C101,AM_Type,0))),"LTCG","STCG"))</f>
        <v/>
      </c>
      <c r="L101" s="71">
        <f>IF($C101="","",$G101-$H101)</f>
        <v/>
      </c>
      <c r="M101" s="71">
        <f>IF(OR($C101="",NOT(ISNUMBER($D101)),NOT(ISNUMBER($E101))),"",IF(AND(INDEX(AM_Index,MATCH($C101,AM_Type,0))=1,$K101="LTCG",$D101&lt;DATE(2024,7,23),Resident="Yes"),$F101*INDEX(CII_Val,MATCH(IF(MONTH($E101)&gt;=4,YEAR($E101),YEAR($E101)-1),CII_Year,0))/INDEX(CII_Val,MATCH(MAX(2001,IF(MONTH($D101)&gt;=4,YEAR($D101),YEAR($D101)-1)),CII_Year,0)),""))</f>
        <v/>
      </c>
      <c r="N101" s="71">
        <f>IF($C101="","",IF(AND(INDEX(AM_Grand,MATCH($C101,AM_Type,0))=1,$K101="LTCG",ISNUMBER($D101),$D101&lt;DATE(2018,2,1),$I101&lt;&gt;""),MAX($F101,MIN($I101,$G101)),$F101))</f>
        <v/>
      </c>
      <c r="O101" s="71">
        <f>IF($C101="","",$L101-$N101)</f>
        <v/>
      </c>
      <c r="P101" s="67">
        <f>IF($C101="","",IF(INDEX(AM_Cat,MATCH($C101,AM_Type,0))="SLABONLY","SLAB",IF($K101="","",IF($K101="STCG",IF(INDEX(AM_Cat,MATCH($C101,AM_Type,0))="EQ","EQ-ST","SLAB"),IF(INDEX(AM_Cat,MATCH($C101,AM_Type,0))="EQ","EQ-LT",IF(INDEX(AM_Cat,MATCH($C101,AM_Type,0))="PROP","PROP-LT","FLAT-LT"))))))</f>
        <v/>
      </c>
      <c r="Q101" s="71">
        <f>IF($C101="","",IF($P101="","",IF($P101="EQ-LT","pooled",IF($P101="EQ-ST",MAX(0,0.2*$O101),IF($P101="PROP-LT",IF($M101="",MAX(0,0.125*$O101),MAX(0,MIN(0.125*$O101,0.2*($L101-$M101)))),IF($P101="FLAT-LT",MAX(0,0.125*$O101),IF($P101="SLAB",MAX(0,Slab_Rate*$O101),"")))))))</f>
        <v/>
      </c>
    </row>
    <row r="102" ht="15" customHeight="1" s="37">
      <c r="A102" s="72">
        <f>IF($C102="","",ROW()-8)</f>
        <v/>
      </c>
      <c r="B102" s="75" t="n"/>
      <c r="C102" s="75" t="n"/>
      <c r="D102" s="76" t="n"/>
      <c r="E102" s="76" t="n"/>
      <c r="F102" s="77" t="n"/>
      <c r="G102" s="77" t="n"/>
      <c r="H102" s="77" t="n"/>
      <c r="I102" s="77" t="n"/>
      <c r="J102" s="72">
        <f>IF(OR($C102="",NOT(ISNUMBER($D102)),NOT(ISNUMBER($E102))),"",DATEDIF($D102,$E102,"m"))</f>
        <v/>
      </c>
      <c r="K102" s="72">
        <f>IF(OR($C102="",NOT(ISNUMBER($D102)),NOT(ISNUMBER($E102))),"",IF($E102&gt;EDATE($D102,INDEX(AM_LTm,MATCH($C102,AM_Type,0))),"LTCG","STCG"))</f>
        <v/>
      </c>
      <c r="L102" s="74">
        <f>IF($C102="","",$G102-$H102)</f>
        <v/>
      </c>
      <c r="M102" s="74">
        <f>IF(OR($C102="",NOT(ISNUMBER($D102)),NOT(ISNUMBER($E102))),"",IF(AND(INDEX(AM_Index,MATCH($C102,AM_Type,0))=1,$K102="LTCG",$D102&lt;DATE(2024,7,23),Resident="Yes"),$F102*INDEX(CII_Val,MATCH(IF(MONTH($E102)&gt;=4,YEAR($E102),YEAR($E102)-1),CII_Year,0))/INDEX(CII_Val,MATCH(MAX(2001,IF(MONTH($D102)&gt;=4,YEAR($D102),YEAR($D102)-1)),CII_Year,0)),""))</f>
        <v/>
      </c>
      <c r="N102" s="74">
        <f>IF($C102="","",IF(AND(INDEX(AM_Grand,MATCH($C102,AM_Type,0))=1,$K102="LTCG",ISNUMBER($D102),$D102&lt;DATE(2018,2,1),$I102&lt;&gt;""),MAX($F102,MIN($I102,$G102)),$F102))</f>
        <v/>
      </c>
      <c r="O102" s="74">
        <f>IF($C102="","",$L102-$N102)</f>
        <v/>
      </c>
      <c r="P102" s="72">
        <f>IF($C102="","",IF(INDEX(AM_Cat,MATCH($C102,AM_Type,0))="SLABONLY","SLAB",IF($K102="","",IF($K102="STCG",IF(INDEX(AM_Cat,MATCH($C102,AM_Type,0))="EQ","EQ-ST","SLAB"),IF(INDEX(AM_Cat,MATCH($C102,AM_Type,0))="EQ","EQ-LT",IF(INDEX(AM_Cat,MATCH($C102,AM_Type,0))="PROP","PROP-LT","FLAT-LT"))))))</f>
        <v/>
      </c>
      <c r="Q102" s="74">
        <f>IF($C102="","",IF($P102="","",IF($P102="EQ-LT","pooled",IF($P102="EQ-ST",MAX(0,0.2*$O102),IF($P102="PROP-LT",IF($M102="",MAX(0,0.125*$O102),MAX(0,MIN(0.125*$O102,0.2*($L102-$M102)))),IF($P102="FLAT-LT",MAX(0,0.125*$O102),IF($P102="SLAB",MAX(0,Slab_Rate*$O102),"")))))))</f>
        <v/>
      </c>
    </row>
    <row r="103" ht="15" customHeight="1" s="37">
      <c r="A103" s="67">
        <f>IF($C103="","",ROW()-8)</f>
        <v/>
      </c>
      <c r="B103" s="75" t="n"/>
      <c r="C103" s="75" t="n"/>
      <c r="D103" s="76" t="n"/>
      <c r="E103" s="76" t="n"/>
      <c r="F103" s="77" t="n"/>
      <c r="G103" s="77" t="n"/>
      <c r="H103" s="77" t="n"/>
      <c r="I103" s="77" t="n"/>
      <c r="J103" s="67">
        <f>IF(OR($C103="",NOT(ISNUMBER($D103)),NOT(ISNUMBER($E103))),"",DATEDIF($D103,$E103,"m"))</f>
        <v/>
      </c>
      <c r="K103" s="67">
        <f>IF(OR($C103="",NOT(ISNUMBER($D103)),NOT(ISNUMBER($E103))),"",IF($E103&gt;EDATE($D103,INDEX(AM_LTm,MATCH($C103,AM_Type,0))),"LTCG","STCG"))</f>
        <v/>
      </c>
      <c r="L103" s="71">
        <f>IF($C103="","",$G103-$H103)</f>
        <v/>
      </c>
      <c r="M103" s="71">
        <f>IF(OR($C103="",NOT(ISNUMBER($D103)),NOT(ISNUMBER($E103))),"",IF(AND(INDEX(AM_Index,MATCH($C103,AM_Type,0))=1,$K103="LTCG",$D103&lt;DATE(2024,7,23),Resident="Yes"),$F103*INDEX(CII_Val,MATCH(IF(MONTH($E103)&gt;=4,YEAR($E103),YEAR($E103)-1),CII_Year,0))/INDEX(CII_Val,MATCH(MAX(2001,IF(MONTH($D103)&gt;=4,YEAR($D103),YEAR($D103)-1)),CII_Year,0)),""))</f>
        <v/>
      </c>
      <c r="N103" s="71">
        <f>IF($C103="","",IF(AND(INDEX(AM_Grand,MATCH($C103,AM_Type,0))=1,$K103="LTCG",ISNUMBER($D103),$D103&lt;DATE(2018,2,1),$I103&lt;&gt;""),MAX($F103,MIN($I103,$G103)),$F103))</f>
        <v/>
      </c>
      <c r="O103" s="71">
        <f>IF($C103="","",$L103-$N103)</f>
        <v/>
      </c>
      <c r="P103" s="67">
        <f>IF($C103="","",IF(INDEX(AM_Cat,MATCH($C103,AM_Type,0))="SLABONLY","SLAB",IF($K103="","",IF($K103="STCG",IF(INDEX(AM_Cat,MATCH($C103,AM_Type,0))="EQ","EQ-ST","SLAB"),IF(INDEX(AM_Cat,MATCH($C103,AM_Type,0))="EQ","EQ-LT",IF(INDEX(AM_Cat,MATCH($C103,AM_Type,0))="PROP","PROP-LT","FLAT-LT"))))))</f>
        <v/>
      </c>
      <c r="Q103" s="71">
        <f>IF($C103="","",IF($P103="","",IF($P103="EQ-LT","pooled",IF($P103="EQ-ST",MAX(0,0.2*$O103),IF($P103="PROP-LT",IF($M103="",MAX(0,0.125*$O103),MAX(0,MIN(0.125*$O103,0.2*($L103-$M103)))),IF($P103="FLAT-LT",MAX(0,0.125*$O103),IF($P103="SLAB",MAX(0,Slab_Rate*$O103),"")))))))</f>
        <v/>
      </c>
    </row>
    <row r="104" ht="15" customHeight="1" s="37">
      <c r="A104" s="72">
        <f>IF($C104="","",ROW()-8)</f>
        <v/>
      </c>
      <c r="B104" s="75" t="n"/>
      <c r="C104" s="75" t="n"/>
      <c r="D104" s="76" t="n"/>
      <c r="E104" s="76" t="n"/>
      <c r="F104" s="77" t="n"/>
      <c r="G104" s="77" t="n"/>
      <c r="H104" s="77" t="n"/>
      <c r="I104" s="77" t="n"/>
      <c r="J104" s="72">
        <f>IF(OR($C104="",NOT(ISNUMBER($D104)),NOT(ISNUMBER($E104))),"",DATEDIF($D104,$E104,"m"))</f>
        <v/>
      </c>
      <c r="K104" s="72">
        <f>IF(OR($C104="",NOT(ISNUMBER($D104)),NOT(ISNUMBER($E104))),"",IF($E104&gt;EDATE($D104,INDEX(AM_LTm,MATCH($C104,AM_Type,0))),"LTCG","STCG"))</f>
        <v/>
      </c>
      <c r="L104" s="74">
        <f>IF($C104="","",$G104-$H104)</f>
        <v/>
      </c>
      <c r="M104" s="74">
        <f>IF(OR($C104="",NOT(ISNUMBER($D104)),NOT(ISNUMBER($E104))),"",IF(AND(INDEX(AM_Index,MATCH($C104,AM_Type,0))=1,$K104="LTCG",$D104&lt;DATE(2024,7,23),Resident="Yes"),$F104*INDEX(CII_Val,MATCH(IF(MONTH($E104)&gt;=4,YEAR($E104),YEAR($E104)-1),CII_Year,0))/INDEX(CII_Val,MATCH(MAX(2001,IF(MONTH($D104)&gt;=4,YEAR($D104),YEAR($D104)-1)),CII_Year,0)),""))</f>
        <v/>
      </c>
      <c r="N104" s="74">
        <f>IF($C104="","",IF(AND(INDEX(AM_Grand,MATCH($C104,AM_Type,0))=1,$K104="LTCG",ISNUMBER($D104),$D104&lt;DATE(2018,2,1),$I104&lt;&gt;""),MAX($F104,MIN($I104,$G104)),$F104))</f>
        <v/>
      </c>
      <c r="O104" s="74">
        <f>IF($C104="","",$L104-$N104)</f>
        <v/>
      </c>
      <c r="P104" s="72">
        <f>IF($C104="","",IF(INDEX(AM_Cat,MATCH($C104,AM_Type,0))="SLABONLY","SLAB",IF($K104="","",IF($K104="STCG",IF(INDEX(AM_Cat,MATCH($C104,AM_Type,0))="EQ","EQ-ST","SLAB"),IF(INDEX(AM_Cat,MATCH($C104,AM_Type,0))="EQ","EQ-LT",IF(INDEX(AM_Cat,MATCH($C104,AM_Type,0))="PROP","PROP-LT","FLAT-LT"))))))</f>
        <v/>
      </c>
      <c r="Q104" s="74">
        <f>IF($C104="","",IF($P104="","",IF($P104="EQ-LT","pooled",IF($P104="EQ-ST",MAX(0,0.2*$O104),IF($P104="PROP-LT",IF($M104="",MAX(0,0.125*$O104),MAX(0,MIN(0.125*$O104,0.2*($L104-$M104)))),IF($P104="FLAT-LT",MAX(0,0.125*$O104),IF($P104="SLAB",MAX(0,Slab_Rate*$O104),"")))))))</f>
        <v/>
      </c>
    </row>
    <row r="105" ht="15" customHeight="1" s="37">
      <c r="A105" s="67">
        <f>IF($C105="","",ROW()-8)</f>
        <v/>
      </c>
      <c r="B105" s="75" t="n"/>
      <c r="C105" s="75" t="n"/>
      <c r="D105" s="76" t="n"/>
      <c r="E105" s="76" t="n"/>
      <c r="F105" s="77" t="n"/>
      <c r="G105" s="77" t="n"/>
      <c r="H105" s="77" t="n"/>
      <c r="I105" s="77" t="n"/>
      <c r="J105" s="67">
        <f>IF(OR($C105="",NOT(ISNUMBER($D105)),NOT(ISNUMBER($E105))),"",DATEDIF($D105,$E105,"m"))</f>
        <v/>
      </c>
      <c r="K105" s="67">
        <f>IF(OR($C105="",NOT(ISNUMBER($D105)),NOT(ISNUMBER($E105))),"",IF($E105&gt;EDATE($D105,INDEX(AM_LTm,MATCH($C105,AM_Type,0))),"LTCG","STCG"))</f>
        <v/>
      </c>
      <c r="L105" s="71">
        <f>IF($C105="","",$G105-$H105)</f>
        <v/>
      </c>
      <c r="M105" s="71">
        <f>IF(OR($C105="",NOT(ISNUMBER($D105)),NOT(ISNUMBER($E105))),"",IF(AND(INDEX(AM_Index,MATCH($C105,AM_Type,0))=1,$K105="LTCG",$D105&lt;DATE(2024,7,23),Resident="Yes"),$F105*INDEX(CII_Val,MATCH(IF(MONTH($E105)&gt;=4,YEAR($E105),YEAR($E105)-1),CII_Year,0))/INDEX(CII_Val,MATCH(MAX(2001,IF(MONTH($D105)&gt;=4,YEAR($D105),YEAR($D105)-1)),CII_Year,0)),""))</f>
        <v/>
      </c>
      <c r="N105" s="71">
        <f>IF($C105="","",IF(AND(INDEX(AM_Grand,MATCH($C105,AM_Type,0))=1,$K105="LTCG",ISNUMBER($D105),$D105&lt;DATE(2018,2,1),$I105&lt;&gt;""),MAX($F105,MIN($I105,$G105)),$F105))</f>
        <v/>
      </c>
      <c r="O105" s="71">
        <f>IF($C105="","",$L105-$N105)</f>
        <v/>
      </c>
      <c r="P105" s="67">
        <f>IF($C105="","",IF(INDEX(AM_Cat,MATCH($C105,AM_Type,0))="SLABONLY","SLAB",IF($K105="","",IF($K105="STCG",IF(INDEX(AM_Cat,MATCH($C105,AM_Type,0))="EQ","EQ-ST","SLAB"),IF(INDEX(AM_Cat,MATCH($C105,AM_Type,0))="EQ","EQ-LT",IF(INDEX(AM_Cat,MATCH($C105,AM_Type,0))="PROP","PROP-LT","FLAT-LT"))))))</f>
        <v/>
      </c>
      <c r="Q105" s="71">
        <f>IF($C105="","",IF($P105="","",IF($P105="EQ-LT","pooled",IF($P105="EQ-ST",MAX(0,0.2*$O105),IF($P105="PROP-LT",IF($M105="",MAX(0,0.125*$O105),MAX(0,MIN(0.125*$O105,0.2*($L105-$M105)))),IF($P105="FLAT-LT",MAX(0,0.125*$O105),IF($P105="SLAB",MAX(0,Slab_Rate*$O105),"")))))))</f>
        <v/>
      </c>
    </row>
    <row r="106" ht="15" customHeight="1" s="37">
      <c r="A106" s="72">
        <f>IF($C106="","",ROW()-8)</f>
        <v/>
      </c>
      <c r="B106" s="75" t="n"/>
      <c r="C106" s="75" t="n"/>
      <c r="D106" s="76" t="n"/>
      <c r="E106" s="76" t="n"/>
      <c r="F106" s="77" t="n"/>
      <c r="G106" s="77" t="n"/>
      <c r="H106" s="77" t="n"/>
      <c r="I106" s="77" t="n"/>
      <c r="J106" s="72">
        <f>IF(OR($C106="",NOT(ISNUMBER($D106)),NOT(ISNUMBER($E106))),"",DATEDIF($D106,$E106,"m"))</f>
        <v/>
      </c>
      <c r="K106" s="72">
        <f>IF(OR($C106="",NOT(ISNUMBER($D106)),NOT(ISNUMBER($E106))),"",IF($E106&gt;EDATE($D106,INDEX(AM_LTm,MATCH($C106,AM_Type,0))),"LTCG","STCG"))</f>
        <v/>
      </c>
      <c r="L106" s="74">
        <f>IF($C106="","",$G106-$H106)</f>
        <v/>
      </c>
      <c r="M106" s="74">
        <f>IF(OR($C106="",NOT(ISNUMBER($D106)),NOT(ISNUMBER($E106))),"",IF(AND(INDEX(AM_Index,MATCH($C106,AM_Type,0))=1,$K106="LTCG",$D106&lt;DATE(2024,7,23),Resident="Yes"),$F106*INDEX(CII_Val,MATCH(IF(MONTH($E106)&gt;=4,YEAR($E106),YEAR($E106)-1),CII_Year,0))/INDEX(CII_Val,MATCH(MAX(2001,IF(MONTH($D106)&gt;=4,YEAR($D106),YEAR($D106)-1)),CII_Year,0)),""))</f>
        <v/>
      </c>
      <c r="N106" s="74">
        <f>IF($C106="","",IF(AND(INDEX(AM_Grand,MATCH($C106,AM_Type,0))=1,$K106="LTCG",ISNUMBER($D106),$D106&lt;DATE(2018,2,1),$I106&lt;&gt;""),MAX($F106,MIN($I106,$G106)),$F106))</f>
        <v/>
      </c>
      <c r="O106" s="74">
        <f>IF($C106="","",$L106-$N106)</f>
        <v/>
      </c>
      <c r="P106" s="72">
        <f>IF($C106="","",IF(INDEX(AM_Cat,MATCH($C106,AM_Type,0))="SLABONLY","SLAB",IF($K106="","",IF($K106="STCG",IF(INDEX(AM_Cat,MATCH($C106,AM_Type,0))="EQ","EQ-ST","SLAB"),IF(INDEX(AM_Cat,MATCH($C106,AM_Type,0))="EQ","EQ-LT",IF(INDEX(AM_Cat,MATCH($C106,AM_Type,0))="PROP","PROP-LT","FLAT-LT"))))))</f>
        <v/>
      </c>
      <c r="Q106" s="74">
        <f>IF($C106="","",IF($P106="","",IF($P106="EQ-LT","pooled",IF($P106="EQ-ST",MAX(0,0.2*$O106),IF($P106="PROP-LT",IF($M106="",MAX(0,0.125*$O106),MAX(0,MIN(0.125*$O106,0.2*($L106-$M106)))),IF($P106="FLAT-LT",MAX(0,0.125*$O106),IF($P106="SLAB",MAX(0,Slab_Rate*$O106),"")))))))</f>
        <v/>
      </c>
    </row>
    <row r="107" ht="15" customHeight="1" s="37">
      <c r="A107" s="67">
        <f>IF($C107="","",ROW()-8)</f>
        <v/>
      </c>
      <c r="B107" s="75" t="n"/>
      <c r="C107" s="75" t="n"/>
      <c r="D107" s="76" t="n"/>
      <c r="E107" s="76" t="n"/>
      <c r="F107" s="77" t="n"/>
      <c r="G107" s="77" t="n"/>
      <c r="H107" s="77" t="n"/>
      <c r="I107" s="77" t="n"/>
      <c r="J107" s="67">
        <f>IF(OR($C107="",NOT(ISNUMBER($D107)),NOT(ISNUMBER($E107))),"",DATEDIF($D107,$E107,"m"))</f>
        <v/>
      </c>
      <c r="K107" s="67">
        <f>IF(OR($C107="",NOT(ISNUMBER($D107)),NOT(ISNUMBER($E107))),"",IF($E107&gt;EDATE($D107,INDEX(AM_LTm,MATCH($C107,AM_Type,0))),"LTCG","STCG"))</f>
        <v/>
      </c>
      <c r="L107" s="71">
        <f>IF($C107="","",$G107-$H107)</f>
        <v/>
      </c>
      <c r="M107" s="71">
        <f>IF(OR($C107="",NOT(ISNUMBER($D107)),NOT(ISNUMBER($E107))),"",IF(AND(INDEX(AM_Index,MATCH($C107,AM_Type,0))=1,$K107="LTCG",$D107&lt;DATE(2024,7,23),Resident="Yes"),$F107*INDEX(CII_Val,MATCH(IF(MONTH($E107)&gt;=4,YEAR($E107),YEAR($E107)-1),CII_Year,0))/INDEX(CII_Val,MATCH(MAX(2001,IF(MONTH($D107)&gt;=4,YEAR($D107),YEAR($D107)-1)),CII_Year,0)),""))</f>
        <v/>
      </c>
      <c r="N107" s="71">
        <f>IF($C107="","",IF(AND(INDEX(AM_Grand,MATCH($C107,AM_Type,0))=1,$K107="LTCG",ISNUMBER($D107),$D107&lt;DATE(2018,2,1),$I107&lt;&gt;""),MAX($F107,MIN($I107,$G107)),$F107))</f>
        <v/>
      </c>
      <c r="O107" s="71">
        <f>IF($C107="","",$L107-$N107)</f>
        <v/>
      </c>
      <c r="P107" s="67">
        <f>IF($C107="","",IF(INDEX(AM_Cat,MATCH($C107,AM_Type,0))="SLABONLY","SLAB",IF($K107="","",IF($K107="STCG",IF(INDEX(AM_Cat,MATCH($C107,AM_Type,0))="EQ","EQ-ST","SLAB"),IF(INDEX(AM_Cat,MATCH($C107,AM_Type,0))="EQ","EQ-LT",IF(INDEX(AM_Cat,MATCH($C107,AM_Type,0))="PROP","PROP-LT","FLAT-LT"))))))</f>
        <v/>
      </c>
      <c r="Q107" s="71">
        <f>IF($C107="","",IF($P107="","",IF($P107="EQ-LT","pooled",IF($P107="EQ-ST",MAX(0,0.2*$O107),IF($P107="PROP-LT",IF($M107="",MAX(0,0.125*$O107),MAX(0,MIN(0.125*$O107,0.2*($L107-$M107)))),IF($P107="FLAT-LT",MAX(0,0.125*$O107),IF($P107="SLAB",MAX(0,Slab_Rate*$O107),"")))))))</f>
        <v/>
      </c>
    </row>
    <row r="108" ht="15" customHeight="1" s="37">
      <c r="A108" s="72">
        <f>IF($C108="","",ROW()-8)</f>
        <v/>
      </c>
      <c r="B108" s="75" t="n"/>
      <c r="C108" s="75" t="n"/>
      <c r="D108" s="76" t="n"/>
      <c r="E108" s="76" t="n"/>
      <c r="F108" s="77" t="n"/>
      <c r="G108" s="77" t="n"/>
      <c r="H108" s="77" t="n"/>
      <c r="I108" s="77" t="n"/>
      <c r="J108" s="72">
        <f>IF(OR($C108="",NOT(ISNUMBER($D108)),NOT(ISNUMBER($E108))),"",DATEDIF($D108,$E108,"m"))</f>
        <v/>
      </c>
      <c r="K108" s="72">
        <f>IF(OR($C108="",NOT(ISNUMBER($D108)),NOT(ISNUMBER($E108))),"",IF($E108&gt;EDATE($D108,INDEX(AM_LTm,MATCH($C108,AM_Type,0))),"LTCG","STCG"))</f>
        <v/>
      </c>
      <c r="L108" s="74">
        <f>IF($C108="","",$G108-$H108)</f>
        <v/>
      </c>
      <c r="M108" s="74">
        <f>IF(OR($C108="",NOT(ISNUMBER($D108)),NOT(ISNUMBER($E108))),"",IF(AND(INDEX(AM_Index,MATCH($C108,AM_Type,0))=1,$K108="LTCG",$D108&lt;DATE(2024,7,23),Resident="Yes"),$F108*INDEX(CII_Val,MATCH(IF(MONTH($E108)&gt;=4,YEAR($E108),YEAR($E108)-1),CII_Year,0))/INDEX(CII_Val,MATCH(MAX(2001,IF(MONTH($D108)&gt;=4,YEAR($D108),YEAR($D108)-1)),CII_Year,0)),""))</f>
        <v/>
      </c>
      <c r="N108" s="74">
        <f>IF($C108="","",IF(AND(INDEX(AM_Grand,MATCH($C108,AM_Type,0))=1,$K108="LTCG",ISNUMBER($D108),$D108&lt;DATE(2018,2,1),$I108&lt;&gt;""),MAX($F108,MIN($I108,$G108)),$F108))</f>
        <v/>
      </c>
      <c r="O108" s="74">
        <f>IF($C108="","",$L108-$N108)</f>
        <v/>
      </c>
      <c r="P108" s="72">
        <f>IF($C108="","",IF(INDEX(AM_Cat,MATCH($C108,AM_Type,0))="SLABONLY","SLAB",IF($K108="","",IF($K108="STCG",IF(INDEX(AM_Cat,MATCH($C108,AM_Type,0))="EQ","EQ-ST","SLAB"),IF(INDEX(AM_Cat,MATCH($C108,AM_Type,0))="EQ","EQ-LT",IF(INDEX(AM_Cat,MATCH($C108,AM_Type,0))="PROP","PROP-LT","FLAT-LT"))))))</f>
        <v/>
      </c>
      <c r="Q108" s="74">
        <f>IF($C108="","",IF($P108="","",IF($P108="EQ-LT","pooled",IF($P108="EQ-ST",MAX(0,0.2*$O108),IF($P108="PROP-LT",IF($M108="",MAX(0,0.125*$O108),MAX(0,MIN(0.125*$O108,0.2*($L108-$M108)))),IF($P108="FLAT-LT",MAX(0,0.125*$O108),IF($P108="SLAB",MAX(0,Slab_Rate*$O108),"")))))))</f>
        <v/>
      </c>
    </row>
    <row r="109" ht="15" customHeight="1" s="37">
      <c r="A109" s="67">
        <f>IF($C109="","",ROW()-8)</f>
        <v/>
      </c>
      <c r="B109" s="75" t="n"/>
      <c r="C109" s="75" t="n"/>
      <c r="D109" s="76" t="n"/>
      <c r="E109" s="76" t="n"/>
      <c r="F109" s="77" t="n"/>
      <c r="G109" s="77" t="n"/>
      <c r="H109" s="77" t="n"/>
      <c r="I109" s="77" t="n"/>
      <c r="J109" s="67">
        <f>IF(OR($C109="",NOT(ISNUMBER($D109)),NOT(ISNUMBER($E109))),"",DATEDIF($D109,$E109,"m"))</f>
        <v/>
      </c>
      <c r="K109" s="67">
        <f>IF(OR($C109="",NOT(ISNUMBER($D109)),NOT(ISNUMBER($E109))),"",IF($E109&gt;EDATE($D109,INDEX(AM_LTm,MATCH($C109,AM_Type,0))),"LTCG","STCG"))</f>
        <v/>
      </c>
      <c r="L109" s="71">
        <f>IF($C109="","",$G109-$H109)</f>
        <v/>
      </c>
      <c r="M109" s="71">
        <f>IF(OR($C109="",NOT(ISNUMBER($D109)),NOT(ISNUMBER($E109))),"",IF(AND(INDEX(AM_Index,MATCH($C109,AM_Type,0))=1,$K109="LTCG",$D109&lt;DATE(2024,7,23),Resident="Yes"),$F109*INDEX(CII_Val,MATCH(IF(MONTH($E109)&gt;=4,YEAR($E109),YEAR($E109)-1),CII_Year,0))/INDEX(CII_Val,MATCH(MAX(2001,IF(MONTH($D109)&gt;=4,YEAR($D109),YEAR($D109)-1)),CII_Year,0)),""))</f>
        <v/>
      </c>
      <c r="N109" s="71">
        <f>IF($C109="","",IF(AND(INDEX(AM_Grand,MATCH($C109,AM_Type,0))=1,$K109="LTCG",ISNUMBER($D109),$D109&lt;DATE(2018,2,1),$I109&lt;&gt;""),MAX($F109,MIN($I109,$G109)),$F109))</f>
        <v/>
      </c>
      <c r="O109" s="71">
        <f>IF($C109="","",$L109-$N109)</f>
        <v/>
      </c>
      <c r="P109" s="67">
        <f>IF($C109="","",IF(INDEX(AM_Cat,MATCH($C109,AM_Type,0))="SLABONLY","SLAB",IF($K109="","",IF($K109="STCG",IF(INDEX(AM_Cat,MATCH($C109,AM_Type,0))="EQ","EQ-ST","SLAB"),IF(INDEX(AM_Cat,MATCH($C109,AM_Type,0))="EQ","EQ-LT",IF(INDEX(AM_Cat,MATCH($C109,AM_Type,0))="PROP","PROP-LT","FLAT-LT"))))))</f>
        <v/>
      </c>
      <c r="Q109" s="71">
        <f>IF($C109="","",IF($P109="","",IF($P109="EQ-LT","pooled",IF($P109="EQ-ST",MAX(0,0.2*$O109),IF($P109="PROP-LT",IF($M109="",MAX(0,0.125*$O109),MAX(0,MIN(0.125*$O109,0.2*($L109-$M109)))),IF($P109="FLAT-LT",MAX(0,0.125*$O109),IF($P109="SLAB",MAX(0,Slab_Rate*$O109),"")))))))</f>
        <v/>
      </c>
    </row>
    <row r="110" ht="15" customHeight="1" s="37">
      <c r="A110" s="72">
        <f>IF($C110="","",ROW()-8)</f>
        <v/>
      </c>
      <c r="B110" s="75" t="n"/>
      <c r="C110" s="75" t="n"/>
      <c r="D110" s="76" t="n"/>
      <c r="E110" s="76" t="n"/>
      <c r="F110" s="77" t="n"/>
      <c r="G110" s="77" t="n"/>
      <c r="H110" s="77" t="n"/>
      <c r="I110" s="77" t="n"/>
      <c r="J110" s="72">
        <f>IF(OR($C110="",NOT(ISNUMBER($D110)),NOT(ISNUMBER($E110))),"",DATEDIF($D110,$E110,"m"))</f>
        <v/>
      </c>
      <c r="K110" s="72">
        <f>IF(OR($C110="",NOT(ISNUMBER($D110)),NOT(ISNUMBER($E110))),"",IF($E110&gt;EDATE($D110,INDEX(AM_LTm,MATCH($C110,AM_Type,0))),"LTCG","STCG"))</f>
        <v/>
      </c>
      <c r="L110" s="74">
        <f>IF($C110="","",$G110-$H110)</f>
        <v/>
      </c>
      <c r="M110" s="74">
        <f>IF(OR($C110="",NOT(ISNUMBER($D110)),NOT(ISNUMBER($E110))),"",IF(AND(INDEX(AM_Index,MATCH($C110,AM_Type,0))=1,$K110="LTCG",$D110&lt;DATE(2024,7,23),Resident="Yes"),$F110*INDEX(CII_Val,MATCH(IF(MONTH($E110)&gt;=4,YEAR($E110),YEAR($E110)-1),CII_Year,0))/INDEX(CII_Val,MATCH(MAX(2001,IF(MONTH($D110)&gt;=4,YEAR($D110),YEAR($D110)-1)),CII_Year,0)),""))</f>
        <v/>
      </c>
      <c r="N110" s="74">
        <f>IF($C110="","",IF(AND(INDEX(AM_Grand,MATCH($C110,AM_Type,0))=1,$K110="LTCG",ISNUMBER($D110),$D110&lt;DATE(2018,2,1),$I110&lt;&gt;""),MAX($F110,MIN($I110,$G110)),$F110))</f>
        <v/>
      </c>
      <c r="O110" s="74">
        <f>IF($C110="","",$L110-$N110)</f>
        <v/>
      </c>
      <c r="P110" s="72">
        <f>IF($C110="","",IF(INDEX(AM_Cat,MATCH($C110,AM_Type,0))="SLABONLY","SLAB",IF($K110="","",IF($K110="STCG",IF(INDEX(AM_Cat,MATCH($C110,AM_Type,0))="EQ","EQ-ST","SLAB"),IF(INDEX(AM_Cat,MATCH($C110,AM_Type,0))="EQ","EQ-LT",IF(INDEX(AM_Cat,MATCH($C110,AM_Type,0))="PROP","PROP-LT","FLAT-LT"))))))</f>
        <v/>
      </c>
      <c r="Q110" s="74">
        <f>IF($C110="","",IF($P110="","",IF($P110="EQ-LT","pooled",IF($P110="EQ-ST",MAX(0,0.2*$O110),IF($P110="PROP-LT",IF($M110="",MAX(0,0.125*$O110),MAX(0,MIN(0.125*$O110,0.2*($L110-$M110)))),IF($P110="FLAT-LT",MAX(0,0.125*$O110),IF($P110="SLAB",MAX(0,Slab_Rate*$O110),"")))))))</f>
        <v/>
      </c>
    </row>
    <row r="111" ht="15" customHeight="1" s="37">
      <c r="A111" s="67">
        <f>IF($C111="","",ROW()-8)</f>
        <v/>
      </c>
      <c r="B111" s="75" t="n"/>
      <c r="C111" s="75" t="n"/>
      <c r="D111" s="76" t="n"/>
      <c r="E111" s="76" t="n"/>
      <c r="F111" s="77" t="n"/>
      <c r="G111" s="77" t="n"/>
      <c r="H111" s="77" t="n"/>
      <c r="I111" s="77" t="n"/>
      <c r="J111" s="67">
        <f>IF(OR($C111="",NOT(ISNUMBER($D111)),NOT(ISNUMBER($E111))),"",DATEDIF($D111,$E111,"m"))</f>
        <v/>
      </c>
      <c r="K111" s="67">
        <f>IF(OR($C111="",NOT(ISNUMBER($D111)),NOT(ISNUMBER($E111))),"",IF($E111&gt;EDATE($D111,INDEX(AM_LTm,MATCH($C111,AM_Type,0))),"LTCG","STCG"))</f>
        <v/>
      </c>
      <c r="L111" s="71">
        <f>IF($C111="","",$G111-$H111)</f>
        <v/>
      </c>
      <c r="M111" s="71">
        <f>IF(OR($C111="",NOT(ISNUMBER($D111)),NOT(ISNUMBER($E111))),"",IF(AND(INDEX(AM_Index,MATCH($C111,AM_Type,0))=1,$K111="LTCG",$D111&lt;DATE(2024,7,23),Resident="Yes"),$F111*INDEX(CII_Val,MATCH(IF(MONTH($E111)&gt;=4,YEAR($E111),YEAR($E111)-1),CII_Year,0))/INDEX(CII_Val,MATCH(MAX(2001,IF(MONTH($D111)&gt;=4,YEAR($D111),YEAR($D111)-1)),CII_Year,0)),""))</f>
        <v/>
      </c>
      <c r="N111" s="71">
        <f>IF($C111="","",IF(AND(INDEX(AM_Grand,MATCH($C111,AM_Type,0))=1,$K111="LTCG",ISNUMBER($D111),$D111&lt;DATE(2018,2,1),$I111&lt;&gt;""),MAX($F111,MIN($I111,$G111)),$F111))</f>
        <v/>
      </c>
      <c r="O111" s="71">
        <f>IF($C111="","",$L111-$N111)</f>
        <v/>
      </c>
      <c r="P111" s="67">
        <f>IF($C111="","",IF(INDEX(AM_Cat,MATCH($C111,AM_Type,0))="SLABONLY","SLAB",IF($K111="","",IF($K111="STCG",IF(INDEX(AM_Cat,MATCH($C111,AM_Type,0))="EQ","EQ-ST","SLAB"),IF(INDEX(AM_Cat,MATCH($C111,AM_Type,0))="EQ","EQ-LT",IF(INDEX(AM_Cat,MATCH($C111,AM_Type,0))="PROP","PROP-LT","FLAT-LT"))))))</f>
        <v/>
      </c>
      <c r="Q111" s="71">
        <f>IF($C111="","",IF($P111="","",IF($P111="EQ-LT","pooled",IF($P111="EQ-ST",MAX(0,0.2*$O111),IF($P111="PROP-LT",IF($M111="",MAX(0,0.125*$O111),MAX(0,MIN(0.125*$O111,0.2*($L111-$M111)))),IF($P111="FLAT-LT",MAX(0,0.125*$O111),IF($P111="SLAB",MAX(0,Slab_Rate*$O111),"")))))))</f>
        <v/>
      </c>
    </row>
    <row r="112" ht="15" customHeight="1" s="37">
      <c r="A112" s="72">
        <f>IF($C112="","",ROW()-8)</f>
        <v/>
      </c>
      <c r="B112" s="75" t="n"/>
      <c r="C112" s="75" t="n"/>
      <c r="D112" s="76" t="n"/>
      <c r="E112" s="76" t="n"/>
      <c r="F112" s="77" t="n"/>
      <c r="G112" s="77" t="n"/>
      <c r="H112" s="77" t="n"/>
      <c r="I112" s="77" t="n"/>
      <c r="J112" s="72">
        <f>IF(OR($C112="",NOT(ISNUMBER($D112)),NOT(ISNUMBER($E112))),"",DATEDIF($D112,$E112,"m"))</f>
        <v/>
      </c>
      <c r="K112" s="72">
        <f>IF(OR($C112="",NOT(ISNUMBER($D112)),NOT(ISNUMBER($E112))),"",IF($E112&gt;EDATE($D112,INDEX(AM_LTm,MATCH($C112,AM_Type,0))),"LTCG","STCG"))</f>
        <v/>
      </c>
      <c r="L112" s="74">
        <f>IF($C112="","",$G112-$H112)</f>
        <v/>
      </c>
      <c r="M112" s="74">
        <f>IF(OR($C112="",NOT(ISNUMBER($D112)),NOT(ISNUMBER($E112))),"",IF(AND(INDEX(AM_Index,MATCH($C112,AM_Type,0))=1,$K112="LTCG",$D112&lt;DATE(2024,7,23),Resident="Yes"),$F112*INDEX(CII_Val,MATCH(IF(MONTH($E112)&gt;=4,YEAR($E112),YEAR($E112)-1),CII_Year,0))/INDEX(CII_Val,MATCH(MAX(2001,IF(MONTH($D112)&gt;=4,YEAR($D112),YEAR($D112)-1)),CII_Year,0)),""))</f>
        <v/>
      </c>
      <c r="N112" s="74">
        <f>IF($C112="","",IF(AND(INDEX(AM_Grand,MATCH($C112,AM_Type,0))=1,$K112="LTCG",ISNUMBER($D112),$D112&lt;DATE(2018,2,1),$I112&lt;&gt;""),MAX($F112,MIN($I112,$G112)),$F112))</f>
        <v/>
      </c>
      <c r="O112" s="74">
        <f>IF($C112="","",$L112-$N112)</f>
        <v/>
      </c>
      <c r="P112" s="72">
        <f>IF($C112="","",IF(INDEX(AM_Cat,MATCH($C112,AM_Type,0))="SLABONLY","SLAB",IF($K112="","",IF($K112="STCG",IF(INDEX(AM_Cat,MATCH($C112,AM_Type,0))="EQ","EQ-ST","SLAB"),IF(INDEX(AM_Cat,MATCH($C112,AM_Type,0))="EQ","EQ-LT",IF(INDEX(AM_Cat,MATCH($C112,AM_Type,0))="PROP","PROP-LT","FLAT-LT"))))))</f>
        <v/>
      </c>
      <c r="Q112" s="74">
        <f>IF($C112="","",IF($P112="","",IF($P112="EQ-LT","pooled",IF($P112="EQ-ST",MAX(0,0.2*$O112),IF($P112="PROP-LT",IF($M112="",MAX(0,0.125*$O112),MAX(0,MIN(0.125*$O112,0.2*($L112-$M112)))),IF($P112="FLAT-LT",MAX(0,0.125*$O112),IF($P112="SLAB",MAX(0,Slab_Rate*$O112),"")))))))</f>
        <v/>
      </c>
    </row>
    <row r="113" ht="15" customHeight="1" s="37">
      <c r="A113" s="67">
        <f>IF($C113="","",ROW()-8)</f>
        <v/>
      </c>
      <c r="B113" s="75" t="n"/>
      <c r="C113" s="75" t="n"/>
      <c r="D113" s="76" t="n"/>
      <c r="E113" s="76" t="n"/>
      <c r="F113" s="77" t="n"/>
      <c r="G113" s="77" t="n"/>
      <c r="H113" s="77" t="n"/>
      <c r="I113" s="77" t="n"/>
      <c r="J113" s="67">
        <f>IF(OR($C113="",NOT(ISNUMBER($D113)),NOT(ISNUMBER($E113))),"",DATEDIF($D113,$E113,"m"))</f>
        <v/>
      </c>
      <c r="K113" s="67">
        <f>IF(OR($C113="",NOT(ISNUMBER($D113)),NOT(ISNUMBER($E113))),"",IF($E113&gt;EDATE($D113,INDEX(AM_LTm,MATCH($C113,AM_Type,0))),"LTCG","STCG"))</f>
        <v/>
      </c>
      <c r="L113" s="71">
        <f>IF($C113="","",$G113-$H113)</f>
        <v/>
      </c>
      <c r="M113" s="71">
        <f>IF(OR($C113="",NOT(ISNUMBER($D113)),NOT(ISNUMBER($E113))),"",IF(AND(INDEX(AM_Index,MATCH($C113,AM_Type,0))=1,$K113="LTCG",$D113&lt;DATE(2024,7,23),Resident="Yes"),$F113*INDEX(CII_Val,MATCH(IF(MONTH($E113)&gt;=4,YEAR($E113),YEAR($E113)-1),CII_Year,0))/INDEX(CII_Val,MATCH(MAX(2001,IF(MONTH($D113)&gt;=4,YEAR($D113),YEAR($D113)-1)),CII_Year,0)),""))</f>
        <v/>
      </c>
      <c r="N113" s="71">
        <f>IF($C113="","",IF(AND(INDEX(AM_Grand,MATCH($C113,AM_Type,0))=1,$K113="LTCG",ISNUMBER($D113),$D113&lt;DATE(2018,2,1),$I113&lt;&gt;""),MAX($F113,MIN($I113,$G113)),$F113))</f>
        <v/>
      </c>
      <c r="O113" s="71">
        <f>IF($C113="","",$L113-$N113)</f>
        <v/>
      </c>
      <c r="P113" s="67">
        <f>IF($C113="","",IF(INDEX(AM_Cat,MATCH($C113,AM_Type,0))="SLABONLY","SLAB",IF($K113="","",IF($K113="STCG",IF(INDEX(AM_Cat,MATCH($C113,AM_Type,0))="EQ","EQ-ST","SLAB"),IF(INDEX(AM_Cat,MATCH($C113,AM_Type,0))="EQ","EQ-LT",IF(INDEX(AM_Cat,MATCH($C113,AM_Type,0))="PROP","PROP-LT","FLAT-LT"))))))</f>
        <v/>
      </c>
      <c r="Q113" s="71">
        <f>IF($C113="","",IF($P113="","",IF($P113="EQ-LT","pooled",IF($P113="EQ-ST",MAX(0,0.2*$O113),IF($P113="PROP-LT",IF($M113="",MAX(0,0.125*$O113),MAX(0,MIN(0.125*$O113,0.2*($L113-$M113)))),IF($P113="FLAT-LT",MAX(0,0.125*$O113),IF($P113="SLAB",MAX(0,Slab_Rate*$O113),"")))))))</f>
        <v/>
      </c>
    </row>
    <row r="114" ht="15" customHeight="1" s="37">
      <c r="A114" s="72">
        <f>IF($C114="","",ROW()-8)</f>
        <v/>
      </c>
      <c r="B114" s="75" t="n"/>
      <c r="C114" s="75" t="n"/>
      <c r="D114" s="76" t="n"/>
      <c r="E114" s="76" t="n"/>
      <c r="F114" s="77" t="n"/>
      <c r="G114" s="77" t="n"/>
      <c r="H114" s="77" t="n"/>
      <c r="I114" s="77" t="n"/>
      <c r="J114" s="72">
        <f>IF(OR($C114="",NOT(ISNUMBER($D114)),NOT(ISNUMBER($E114))),"",DATEDIF($D114,$E114,"m"))</f>
        <v/>
      </c>
      <c r="K114" s="72">
        <f>IF(OR($C114="",NOT(ISNUMBER($D114)),NOT(ISNUMBER($E114))),"",IF($E114&gt;EDATE($D114,INDEX(AM_LTm,MATCH($C114,AM_Type,0))),"LTCG","STCG"))</f>
        <v/>
      </c>
      <c r="L114" s="74">
        <f>IF($C114="","",$G114-$H114)</f>
        <v/>
      </c>
      <c r="M114" s="74">
        <f>IF(OR($C114="",NOT(ISNUMBER($D114)),NOT(ISNUMBER($E114))),"",IF(AND(INDEX(AM_Index,MATCH($C114,AM_Type,0))=1,$K114="LTCG",$D114&lt;DATE(2024,7,23),Resident="Yes"),$F114*INDEX(CII_Val,MATCH(IF(MONTH($E114)&gt;=4,YEAR($E114),YEAR($E114)-1),CII_Year,0))/INDEX(CII_Val,MATCH(MAX(2001,IF(MONTH($D114)&gt;=4,YEAR($D114),YEAR($D114)-1)),CII_Year,0)),""))</f>
        <v/>
      </c>
      <c r="N114" s="74">
        <f>IF($C114="","",IF(AND(INDEX(AM_Grand,MATCH($C114,AM_Type,0))=1,$K114="LTCG",ISNUMBER($D114),$D114&lt;DATE(2018,2,1),$I114&lt;&gt;""),MAX($F114,MIN($I114,$G114)),$F114))</f>
        <v/>
      </c>
      <c r="O114" s="74">
        <f>IF($C114="","",$L114-$N114)</f>
        <v/>
      </c>
      <c r="P114" s="72">
        <f>IF($C114="","",IF(INDEX(AM_Cat,MATCH($C114,AM_Type,0))="SLABONLY","SLAB",IF($K114="","",IF($K114="STCG",IF(INDEX(AM_Cat,MATCH($C114,AM_Type,0))="EQ","EQ-ST","SLAB"),IF(INDEX(AM_Cat,MATCH($C114,AM_Type,0))="EQ","EQ-LT",IF(INDEX(AM_Cat,MATCH($C114,AM_Type,0))="PROP","PROP-LT","FLAT-LT"))))))</f>
        <v/>
      </c>
      <c r="Q114" s="74">
        <f>IF($C114="","",IF($P114="","",IF($P114="EQ-LT","pooled",IF($P114="EQ-ST",MAX(0,0.2*$O114),IF($P114="PROP-LT",IF($M114="",MAX(0,0.125*$O114),MAX(0,MIN(0.125*$O114,0.2*($L114-$M114)))),IF($P114="FLAT-LT",MAX(0,0.125*$O114),IF($P114="SLAB",MAX(0,Slab_Rate*$O114),"")))))))</f>
        <v/>
      </c>
    </row>
    <row r="115" ht="15" customHeight="1" s="37">
      <c r="A115" s="67">
        <f>IF($C115="","",ROW()-8)</f>
        <v/>
      </c>
      <c r="B115" s="75" t="n"/>
      <c r="C115" s="75" t="n"/>
      <c r="D115" s="76" t="n"/>
      <c r="E115" s="76" t="n"/>
      <c r="F115" s="77" t="n"/>
      <c r="G115" s="77" t="n"/>
      <c r="H115" s="77" t="n"/>
      <c r="I115" s="77" t="n"/>
      <c r="J115" s="67">
        <f>IF(OR($C115="",NOT(ISNUMBER($D115)),NOT(ISNUMBER($E115))),"",DATEDIF($D115,$E115,"m"))</f>
        <v/>
      </c>
      <c r="K115" s="67">
        <f>IF(OR($C115="",NOT(ISNUMBER($D115)),NOT(ISNUMBER($E115))),"",IF($E115&gt;EDATE($D115,INDEX(AM_LTm,MATCH($C115,AM_Type,0))),"LTCG","STCG"))</f>
        <v/>
      </c>
      <c r="L115" s="71">
        <f>IF($C115="","",$G115-$H115)</f>
        <v/>
      </c>
      <c r="M115" s="71">
        <f>IF(OR($C115="",NOT(ISNUMBER($D115)),NOT(ISNUMBER($E115))),"",IF(AND(INDEX(AM_Index,MATCH($C115,AM_Type,0))=1,$K115="LTCG",$D115&lt;DATE(2024,7,23),Resident="Yes"),$F115*INDEX(CII_Val,MATCH(IF(MONTH($E115)&gt;=4,YEAR($E115),YEAR($E115)-1),CII_Year,0))/INDEX(CII_Val,MATCH(MAX(2001,IF(MONTH($D115)&gt;=4,YEAR($D115),YEAR($D115)-1)),CII_Year,0)),""))</f>
        <v/>
      </c>
      <c r="N115" s="71">
        <f>IF($C115="","",IF(AND(INDEX(AM_Grand,MATCH($C115,AM_Type,0))=1,$K115="LTCG",ISNUMBER($D115),$D115&lt;DATE(2018,2,1),$I115&lt;&gt;""),MAX($F115,MIN($I115,$G115)),$F115))</f>
        <v/>
      </c>
      <c r="O115" s="71">
        <f>IF($C115="","",$L115-$N115)</f>
        <v/>
      </c>
      <c r="P115" s="67">
        <f>IF($C115="","",IF(INDEX(AM_Cat,MATCH($C115,AM_Type,0))="SLABONLY","SLAB",IF($K115="","",IF($K115="STCG",IF(INDEX(AM_Cat,MATCH($C115,AM_Type,0))="EQ","EQ-ST","SLAB"),IF(INDEX(AM_Cat,MATCH($C115,AM_Type,0))="EQ","EQ-LT",IF(INDEX(AM_Cat,MATCH($C115,AM_Type,0))="PROP","PROP-LT","FLAT-LT"))))))</f>
        <v/>
      </c>
      <c r="Q115" s="71">
        <f>IF($C115="","",IF($P115="","",IF($P115="EQ-LT","pooled",IF($P115="EQ-ST",MAX(0,0.2*$O115),IF($P115="PROP-LT",IF($M115="",MAX(0,0.125*$O115),MAX(0,MIN(0.125*$O115,0.2*($L115-$M115)))),IF($P115="FLAT-LT",MAX(0,0.125*$O115),IF($P115="SLAB",MAX(0,Slab_Rate*$O115),"")))))))</f>
        <v/>
      </c>
    </row>
    <row r="116" ht="15" customHeight="1" s="37">
      <c r="A116" s="72">
        <f>IF($C116="","",ROW()-8)</f>
        <v/>
      </c>
      <c r="B116" s="75" t="n"/>
      <c r="C116" s="75" t="n"/>
      <c r="D116" s="76" t="n"/>
      <c r="E116" s="76" t="n"/>
      <c r="F116" s="77" t="n"/>
      <c r="G116" s="77" t="n"/>
      <c r="H116" s="77" t="n"/>
      <c r="I116" s="77" t="n"/>
      <c r="J116" s="72">
        <f>IF(OR($C116="",NOT(ISNUMBER($D116)),NOT(ISNUMBER($E116))),"",DATEDIF($D116,$E116,"m"))</f>
        <v/>
      </c>
      <c r="K116" s="72">
        <f>IF(OR($C116="",NOT(ISNUMBER($D116)),NOT(ISNUMBER($E116))),"",IF($E116&gt;EDATE($D116,INDEX(AM_LTm,MATCH($C116,AM_Type,0))),"LTCG","STCG"))</f>
        <v/>
      </c>
      <c r="L116" s="74">
        <f>IF($C116="","",$G116-$H116)</f>
        <v/>
      </c>
      <c r="M116" s="74">
        <f>IF(OR($C116="",NOT(ISNUMBER($D116)),NOT(ISNUMBER($E116))),"",IF(AND(INDEX(AM_Index,MATCH($C116,AM_Type,0))=1,$K116="LTCG",$D116&lt;DATE(2024,7,23),Resident="Yes"),$F116*INDEX(CII_Val,MATCH(IF(MONTH($E116)&gt;=4,YEAR($E116),YEAR($E116)-1),CII_Year,0))/INDEX(CII_Val,MATCH(MAX(2001,IF(MONTH($D116)&gt;=4,YEAR($D116),YEAR($D116)-1)),CII_Year,0)),""))</f>
        <v/>
      </c>
      <c r="N116" s="74">
        <f>IF($C116="","",IF(AND(INDEX(AM_Grand,MATCH($C116,AM_Type,0))=1,$K116="LTCG",ISNUMBER($D116),$D116&lt;DATE(2018,2,1),$I116&lt;&gt;""),MAX($F116,MIN($I116,$G116)),$F116))</f>
        <v/>
      </c>
      <c r="O116" s="74">
        <f>IF($C116="","",$L116-$N116)</f>
        <v/>
      </c>
      <c r="P116" s="72">
        <f>IF($C116="","",IF(INDEX(AM_Cat,MATCH($C116,AM_Type,0))="SLABONLY","SLAB",IF($K116="","",IF($K116="STCG",IF(INDEX(AM_Cat,MATCH($C116,AM_Type,0))="EQ","EQ-ST","SLAB"),IF(INDEX(AM_Cat,MATCH($C116,AM_Type,0))="EQ","EQ-LT",IF(INDEX(AM_Cat,MATCH($C116,AM_Type,0))="PROP","PROP-LT","FLAT-LT"))))))</f>
        <v/>
      </c>
      <c r="Q116" s="74">
        <f>IF($C116="","",IF($P116="","",IF($P116="EQ-LT","pooled",IF($P116="EQ-ST",MAX(0,0.2*$O116),IF($P116="PROP-LT",IF($M116="",MAX(0,0.125*$O116),MAX(0,MIN(0.125*$O116,0.2*($L116-$M116)))),IF($P116="FLAT-LT",MAX(0,0.125*$O116),IF($P116="SLAB",MAX(0,Slab_Rate*$O116),"")))))))</f>
        <v/>
      </c>
    </row>
    <row r="117" ht="15" customHeight="1" s="37">
      <c r="A117" s="67">
        <f>IF($C117="","",ROW()-8)</f>
        <v/>
      </c>
      <c r="B117" s="75" t="n"/>
      <c r="C117" s="75" t="n"/>
      <c r="D117" s="76" t="n"/>
      <c r="E117" s="76" t="n"/>
      <c r="F117" s="77" t="n"/>
      <c r="G117" s="77" t="n"/>
      <c r="H117" s="77" t="n"/>
      <c r="I117" s="77" t="n"/>
      <c r="J117" s="67">
        <f>IF(OR($C117="",NOT(ISNUMBER($D117)),NOT(ISNUMBER($E117))),"",DATEDIF($D117,$E117,"m"))</f>
        <v/>
      </c>
      <c r="K117" s="67">
        <f>IF(OR($C117="",NOT(ISNUMBER($D117)),NOT(ISNUMBER($E117))),"",IF($E117&gt;EDATE($D117,INDEX(AM_LTm,MATCH($C117,AM_Type,0))),"LTCG","STCG"))</f>
        <v/>
      </c>
      <c r="L117" s="71">
        <f>IF($C117="","",$G117-$H117)</f>
        <v/>
      </c>
      <c r="M117" s="71">
        <f>IF(OR($C117="",NOT(ISNUMBER($D117)),NOT(ISNUMBER($E117))),"",IF(AND(INDEX(AM_Index,MATCH($C117,AM_Type,0))=1,$K117="LTCG",$D117&lt;DATE(2024,7,23),Resident="Yes"),$F117*INDEX(CII_Val,MATCH(IF(MONTH($E117)&gt;=4,YEAR($E117),YEAR($E117)-1),CII_Year,0))/INDEX(CII_Val,MATCH(MAX(2001,IF(MONTH($D117)&gt;=4,YEAR($D117),YEAR($D117)-1)),CII_Year,0)),""))</f>
        <v/>
      </c>
      <c r="N117" s="71">
        <f>IF($C117="","",IF(AND(INDEX(AM_Grand,MATCH($C117,AM_Type,0))=1,$K117="LTCG",ISNUMBER($D117),$D117&lt;DATE(2018,2,1),$I117&lt;&gt;""),MAX($F117,MIN($I117,$G117)),$F117))</f>
        <v/>
      </c>
      <c r="O117" s="71">
        <f>IF($C117="","",$L117-$N117)</f>
        <v/>
      </c>
      <c r="P117" s="67">
        <f>IF($C117="","",IF(INDEX(AM_Cat,MATCH($C117,AM_Type,0))="SLABONLY","SLAB",IF($K117="","",IF($K117="STCG",IF(INDEX(AM_Cat,MATCH($C117,AM_Type,0))="EQ","EQ-ST","SLAB"),IF(INDEX(AM_Cat,MATCH($C117,AM_Type,0))="EQ","EQ-LT",IF(INDEX(AM_Cat,MATCH($C117,AM_Type,0))="PROP","PROP-LT","FLAT-LT"))))))</f>
        <v/>
      </c>
      <c r="Q117" s="71">
        <f>IF($C117="","",IF($P117="","",IF($P117="EQ-LT","pooled",IF($P117="EQ-ST",MAX(0,0.2*$O117),IF($P117="PROP-LT",IF($M117="",MAX(0,0.125*$O117),MAX(0,MIN(0.125*$O117,0.2*($L117-$M117)))),IF($P117="FLAT-LT",MAX(0,0.125*$O117),IF($P117="SLAB",MAX(0,Slab_Rate*$O117),"")))))))</f>
        <v/>
      </c>
    </row>
    <row r="118" ht="15" customHeight="1" s="37">
      <c r="A118" s="72">
        <f>IF($C118="","",ROW()-8)</f>
        <v/>
      </c>
      <c r="B118" s="75" t="n"/>
      <c r="C118" s="75" t="n"/>
      <c r="D118" s="76" t="n"/>
      <c r="E118" s="76" t="n"/>
      <c r="F118" s="77" t="n"/>
      <c r="G118" s="77" t="n"/>
      <c r="H118" s="77" t="n"/>
      <c r="I118" s="77" t="n"/>
      <c r="J118" s="72">
        <f>IF(OR($C118="",NOT(ISNUMBER($D118)),NOT(ISNUMBER($E118))),"",DATEDIF($D118,$E118,"m"))</f>
        <v/>
      </c>
      <c r="K118" s="72">
        <f>IF(OR($C118="",NOT(ISNUMBER($D118)),NOT(ISNUMBER($E118))),"",IF($E118&gt;EDATE($D118,INDEX(AM_LTm,MATCH($C118,AM_Type,0))),"LTCG","STCG"))</f>
        <v/>
      </c>
      <c r="L118" s="74">
        <f>IF($C118="","",$G118-$H118)</f>
        <v/>
      </c>
      <c r="M118" s="74">
        <f>IF(OR($C118="",NOT(ISNUMBER($D118)),NOT(ISNUMBER($E118))),"",IF(AND(INDEX(AM_Index,MATCH($C118,AM_Type,0))=1,$K118="LTCG",$D118&lt;DATE(2024,7,23),Resident="Yes"),$F118*INDEX(CII_Val,MATCH(IF(MONTH($E118)&gt;=4,YEAR($E118),YEAR($E118)-1),CII_Year,0))/INDEX(CII_Val,MATCH(MAX(2001,IF(MONTH($D118)&gt;=4,YEAR($D118),YEAR($D118)-1)),CII_Year,0)),""))</f>
        <v/>
      </c>
      <c r="N118" s="74">
        <f>IF($C118="","",IF(AND(INDEX(AM_Grand,MATCH($C118,AM_Type,0))=1,$K118="LTCG",ISNUMBER($D118),$D118&lt;DATE(2018,2,1),$I118&lt;&gt;""),MAX($F118,MIN($I118,$G118)),$F118))</f>
        <v/>
      </c>
      <c r="O118" s="74">
        <f>IF($C118="","",$L118-$N118)</f>
        <v/>
      </c>
      <c r="P118" s="72">
        <f>IF($C118="","",IF(INDEX(AM_Cat,MATCH($C118,AM_Type,0))="SLABONLY","SLAB",IF($K118="","",IF($K118="STCG",IF(INDEX(AM_Cat,MATCH($C118,AM_Type,0))="EQ","EQ-ST","SLAB"),IF(INDEX(AM_Cat,MATCH($C118,AM_Type,0))="EQ","EQ-LT",IF(INDEX(AM_Cat,MATCH($C118,AM_Type,0))="PROP","PROP-LT","FLAT-LT"))))))</f>
        <v/>
      </c>
      <c r="Q118" s="74">
        <f>IF($C118="","",IF($P118="","",IF($P118="EQ-LT","pooled",IF($P118="EQ-ST",MAX(0,0.2*$O118),IF($P118="PROP-LT",IF($M118="",MAX(0,0.125*$O118),MAX(0,MIN(0.125*$O118,0.2*($L118-$M118)))),IF($P118="FLAT-LT",MAX(0,0.125*$O118),IF($P118="SLAB",MAX(0,Slab_Rate*$O118),"")))))))</f>
        <v/>
      </c>
    </row>
    <row r="119" ht="15" customHeight="1" s="37">
      <c r="A119" s="67">
        <f>IF($C119="","",ROW()-8)</f>
        <v/>
      </c>
      <c r="B119" s="75" t="n"/>
      <c r="C119" s="75" t="n"/>
      <c r="D119" s="76" t="n"/>
      <c r="E119" s="76" t="n"/>
      <c r="F119" s="77" t="n"/>
      <c r="G119" s="77" t="n"/>
      <c r="H119" s="77" t="n"/>
      <c r="I119" s="77" t="n"/>
      <c r="J119" s="67">
        <f>IF(OR($C119="",NOT(ISNUMBER($D119)),NOT(ISNUMBER($E119))),"",DATEDIF($D119,$E119,"m"))</f>
        <v/>
      </c>
      <c r="K119" s="67">
        <f>IF(OR($C119="",NOT(ISNUMBER($D119)),NOT(ISNUMBER($E119))),"",IF($E119&gt;EDATE($D119,INDEX(AM_LTm,MATCH($C119,AM_Type,0))),"LTCG","STCG"))</f>
        <v/>
      </c>
      <c r="L119" s="71">
        <f>IF($C119="","",$G119-$H119)</f>
        <v/>
      </c>
      <c r="M119" s="71">
        <f>IF(OR($C119="",NOT(ISNUMBER($D119)),NOT(ISNUMBER($E119))),"",IF(AND(INDEX(AM_Index,MATCH($C119,AM_Type,0))=1,$K119="LTCG",$D119&lt;DATE(2024,7,23),Resident="Yes"),$F119*INDEX(CII_Val,MATCH(IF(MONTH($E119)&gt;=4,YEAR($E119),YEAR($E119)-1),CII_Year,0))/INDEX(CII_Val,MATCH(MAX(2001,IF(MONTH($D119)&gt;=4,YEAR($D119),YEAR($D119)-1)),CII_Year,0)),""))</f>
        <v/>
      </c>
      <c r="N119" s="71">
        <f>IF($C119="","",IF(AND(INDEX(AM_Grand,MATCH($C119,AM_Type,0))=1,$K119="LTCG",ISNUMBER($D119),$D119&lt;DATE(2018,2,1),$I119&lt;&gt;""),MAX($F119,MIN($I119,$G119)),$F119))</f>
        <v/>
      </c>
      <c r="O119" s="71">
        <f>IF($C119="","",$L119-$N119)</f>
        <v/>
      </c>
      <c r="P119" s="67">
        <f>IF($C119="","",IF(INDEX(AM_Cat,MATCH($C119,AM_Type,0))="SLABONLY","SLAB",IF($K119="","",IF($K119="STCG",IF(INDEX(AM_Cat,MATCH($C119,AM_Type,0))="EQ","EQ-ST","SLAB"),IF(INDEX(AM_Cat,MATCH($C119,AM_Type,0))="EQ","EQ-LT",IF(INDEX(AM_Cat,MATCH($C119,AM_Type,0))="PROP","PROP-LT","FLAT-LT"))))))</f>
        <v/>
      </c>
      <c r="Q119" s="71">
        <f>IF($C119="","",IF($P119="","",IF($P119="EQ-LT","pooled",IF($P119="EQ-ST",MAX(0,0.2*$O119),IF($P119="PROP-LT",IF($M119="",MAX(0,0.125*$O119),MAX(0,MIN(0.125*$O119,0.2*($L119-$M119)))),IF($P119="FLAT-LT",MAX(0,0.125*$O119),IF($P119="SLAB",MAX(0,Slab_Rate*$O119),"")))))))</f>
        <v/>
      </c>
    </row>
    <row r="120" ht="15" customHeight="1" s="37">
      <c r="A120" s="72">
        <f>IF($C120="","",ROW()-8)</f>
        <v/>
      </c>
      <c r="B120" s="75" t="n"/>
      <c r="C120" s="75" t="n"/>
      <c r="D120" s="76" t="n"/>
      <c r="E120" s="76" t="n"/>
      <c r="F120" s="77" t="n"/>
      <c r="G120" s="77" t="n"/>
      <c r="H120" s="77" t="n"/>
      <c r="I120" s="77" t="n"/>
      <c r="J120" s="72">
        <f>IF(OR($C120="",NOT(ISNUMBER($D120)),NOT(ISNUMBER($E120))),"",DATEDIF($D120,$E120,"m"))</f>
        <v/>
      </c>
      <c r="K120" s="72">
        <f>IF(OR($C120="",NOT(ISNUMBER($D120)),NOT(ISNUMBER($E120))),"",IF($E120&gt;EDATE($D120,INDEX(AM_LTm,MATCH($C120,AM_Type,0))),"LTCG","STCG"))</f>
        <v/>
      </c>
      <c r="L120" s="74">
        <f>IF($C120="","",$G120-$H120)</f>
        <v/>
      </c>
      <c r="M120" s="74">
        <f>IF(OR($C120="",NOT(ISNUMBER($D120)),NOT(ISNUMBER($E120))),"",IF(AND(INDEX(AM_Index,MATCH($C120,AM_Type,0))=1,$K120="LTCG",$D120&lt;DATE(2024,7,23),Resident="Yes"),$F120*INDEX(CII_Val,MATCH(IF(MONTH($E120)&gt;=4,YEAR($E120),YEAR($E120)-1),CII_Year,0))/INDEX(CII_Val,MATCH(MAX(2001,IF(MONTH($D120)&gt;=4,YEAR($D120),YEAR($D120)-1)),CII_Year,0)),""))</f>
        <v/>
      </c>
      <c r="N120" s="74">
        <f>IF($C120="","",IF(AND(INDEX(AM_Grand,MATCH($C120,AM_Type,0))=1,$K120="LTCG",ISNUMBER($D120),$D120&lt;DATE(2018,2,1),$I120&lt;&gt;""),MAX($F120,MIN($I120,$G120)),$F120))</f>
        <v/>
      </c>
      <c r="O120" s="74">
        <f>IF($C120="","",$L120-$N120)</f>
        <v/>
      </c>
      <c r="P120" s="72">
        <f>IF($C120="","",IF(INDEX(AM_Cat,MATCH($C120,AM_Type,0))="SLABONLY","SLAB",IF($K120="","",IF($K120="STCG",IF(INDEX(AM_Cat,MATCH($C120,AM_Type,0))="EQ","EQ-ST","SLAB"),IF(INDEX(AM_Cat,MATCH($C120,AM_Type,0))="EQ","EQ-LT",IF(INDEX(AM_Cat,MATCH($C120,AM_Type,0))="PROP","PROP-LT","FLAT-LT"))))))</f>
        <v/>
      </c>
      <c r="Q120" s="74">
        <f>IF($C120="","",IF($P120="","",IF($P120="EQ-LT","pooled",IF($P120="EQ-ST",MAX(0,0.2*$O120),IF($P120="PROP-LT",IF($M120="",MAX(0,0.125*$O120),MAX(0,MIN(0.125*$O120,0.2*($L120-$M120)))),IF($P120="FLAT-LT",MAX(0,0.125*$O120),IF($P120="SLAB",MAX(0,Slab_Rate*$O120),"")))))))</f>
        <v/>
      </c>
    </row>
    <row r="121" ht="15" customHeight="1" s="37">
      <c r="A121" s="67">
        <f>IF($C121="","",ROW()-8)</f>
        <v/>
      </c>
      <c r="B121" s="75" t="n"/>
      <c r="C121" s="75" t="n"/>
      <c r="D121" s="76" t="n"/>
      <c r="E121" s="76" t="n"/>
      <c r="F121" s="77" t="n"/>
      <c r="G121" s="77" t="n"/>
      <c r="H121" s="77" t="n"/>
      <c r="I121" s="77" t="n"/>
      <c r="J121" s="67">
        <f>IF(OR($C121="",NOT(ISNUMBER($D121)),NOT(ISNUMBER($E121))),"",DATEDIF($D121,$E121,"m"))</f>
        <v/>
      </c>
      <c r="K121" s="67">
        <f>IF(OR($C121="",NOT(ISNUMBER($D121)),NOT(ISNUMBER($E121))),"",IF($E121&gt;EDATE($D121,INDEX(AM_LTm,MATCH($C121,AM_Type,0))),"LTCG","STCG"))</f>
        <v/>
      </c>
      <c r="L121" s="71">
        <f>IF($C121="","",$G121-$H121)</f>
        <v/>
      </c>
      <c r="M121" s="71">
        <f>IF(OR($C121="",NOT(ISNUMBER($D121)),NOT(ISNUMBER($E121))),"",IF(AND(INDEX(AM_Index,MATCH($C121,AM_Type,0))=1,$K121="LTCG",$D121&lt;DATE(2024,7,23),Resident="Yes"),$F121*INDEX(CII_Val,MATCH(IF(MONTH($E121)&gt;=4,YEAR($E121),YEAR($E121)-1),CII_Year,0))/INDEX(CII_Val,MATCH(MAX(2001,IF(MONTH($D121)&gt;=4,YEAR($D121),YEAR($D121)-1)),CII_Year,0)),""))</f>
        <v/>
      </c>
      <c r="N121" s="71">
        <f>IF($C121="","",IF(AND(INDEX(AM_Grand,MATCH($C121,AM_Type,0))=1,$K121="LTCG",ISNUMBER($D121),$D121&lt;DATE(2018,2,1),$I121&lt;&gt;""),MAX($F121,MIN($I121,$G121)),$F121))</f>
        <v/>
      </c>
      <c r="O121" s="71">
        <f>IF($C121="","",$L121-$N121)</f>
        <v/>
      </c>
      <c r="P121" s="67">
        <f>IF($C121="","",IF(INDEX(AM_Cat,MATCH($C121,AM_Type,0))="SLABONLY","SLAB",IF($K121="","",IF($K121="STCG",IF(INDEX(AM_Cat,MATCH($C121,AM_Type,0))="EQ","EQ-ST","SLAB"),IF(INDEX(AM_Cat,MATCH($C121,AM_Type,0))="EQ","EQ-LT",IF(INDEX(AM_Cat,MATCH($C121,AM_Type,0))="PROP","PROP-LT","FLAT-LT"))))))</f>
        <v/>
      </c>
      <c r="Q121" s="71">
        <f>IF($C121="","",IF($P121="","",IF($P121="EQ-LT","pooled",IF($P121="EQ-ST",MAX(0,0.2*$O121),IF($P121="PROP-LT",IF($M121="",MAX(0,0.125*$O121),MAX(0,MIN(0.125*$O121,0.2*($L121-$M121)))),IF($P121="FLAT-LT",MAX(0,0.125*$O121),IF($P121="SLAB",MAX(0,Slab_Rate*$O121),"")))))))</f>
        <v/>
      </c>
    </row>
    <row r="122" ht="15" customHeight="1" s="37">
      <c r="A122" s="72">
        <f>IF($C122="","",ROW()-8)</f>
        <v/>
      </c>
      <c r="B122" s="75" t="n"/>
      <c r="C122" s="75" t="n"/>
      <c r="D122" s="76" t="n"/>
      <c r="E122" s="76" t="n"/>
      <c r="F122" s="77" t="n"/>
      <c r="G122" s="77" t="n"/>
      <c r="H122" s="77" t="n"/>
      <c r="I122" s="77" t="n"/>
      <c r="J122" s="72">
        <f>IF(OR($C122="",NOT(ISNUMBER($D122)),NOT(ISNUMBER($E122))),"",DATEDIF($D122,$E122,"m"))</f>
        <v/>
      </c>
      <c r="K122" s="72">
        <f>IF(OR($C122="",NOT(ISNUMBER($D122)),NOT(ISNUMBER($E122))),"",IF($E122&gt;EDATE($D122,INDEX(AM_LTm,MATCH($C122,AM_Type,0))),"LTCG","STCG"))</f>
        <v/>
      </c>
      <c r="L122" s="74">
        <f>IF($C122="","",$G122-$H122)</f>
        <v/>
      </c>
      <c r="M122" s="74">
        <f>IF(OR($C122="",NOT(ISNUMBER($D122)),NOT(ISNUMBER($E122))),"",IF(AND(INDEX(AM_Index,MATCH($C122,AM_Type,0))=1,$K122="LTCG",$D122&lt;DATE(2024,7,23),Resident="Yes"),$F122*INDEX(CII_Val,MATCH(IF(MONTH($E122)&gt;=4,YEAR($E122),YEAR($E122)-1),CII_Year,0))/INDEX(CII_Val,MATCH(MAX(2001,IF(MONTH($D122)&gt;=4,YEAR($D122),YEAR($D122)-1)),CII_Year,0)),""))</f>
        <v/>
      </c>
      <c r="N122" s="74">
        <f>IF($C122="","",IF(AND(INDEX(AM_Grand,MATCH($C122,AM_Type,0))=1,$K122="LTCG",ISNUMBER($D122),$D122&lt;DATE(2018,2,1),$I122&lt;&gt;""),MAX($F122,MIN($I122,$G122)),$F122))</f>
        <v/>
      </c>
      <c r="O122" s="74">
        <f>IF($C122="","",$L122-$N122)</f>
        <v/>
      </c>
      <c r="P122" s="72">
        <f>IF($C122="","",IF(INDEX(AM_Cat,MATCH($C122,AM_Type,0))="SLABONLY","SLAB",IF($K122="","",IF($K122="STCG",IF(INDEX(AM_Cat,MATCH($C122,AM_Type,0))="EQ","EQ-ST","SLAB"),IF(INDEX(AM_Cat,MATCH($C122,AM_Type,0))="EQ","EQ-LT",IF(INDEX(AM_Cat,MATCH($C122,AM_Type,0))="PROP","PROP-LT","FLAT-LT"))))))</f>
        <v/>
      </c>
      <c r="Q122" s="74">
        <f>IF($C122="","",IF($P122="","",IF($P122="EQ-LT","pooled",IF($P122="EQ-ST",MAX(0,0.2*$O122),IF($P122="PROP-LT",IF($M122="",MAX(0,0.125*$O122),MAX(0,MIN(0.125*$O122,0.2*($L122-$M122)))),IF($P122="FLAT-LT",MAX(0,0.125*$O122),IF($P122="SLAB",MAX(0,Slab_Rate*$O122),"")))))))</f>
        <v/>
      </c>
    </row>
    <row r="123" ht="15" customHeight="1" s="37">
      <c r="A123" s="67">
        <f>IF($C123="","",ROW()-8)</f>
        <v/>
      </c>
      <c r="B123" s="75" t="n"/>
      <c r="C123" s="75" t="n"/>
      <c r="D123" s="76" t="n"/>
      <c r="E123" s="76" t="n"/>
      <c r="F123" s="77" t="n"/>
      <c r="G123" s="77" t="n"/>
      <c r="H123" s="77" t="n"/>
      <c r="I123" s="77" t="n"/>
      <c r="J123" s="67">
        <f>IF(OR($C123="",NOT(ISNUMBER($D123)),NOT(ISNUMBER($E123))),"",DATEDIF($D123,$E123,"m"))</f>
        <v/>
      </c>
      <c r="K123" s="67">
        <f>IF(OR($C123="",NOT(ISNUMBER($D123)),NOT(ISNUMBER($E123))),"",IF($E123&gt;EDATE($D123,INDEX(AM_LTm,MATCH($C123,AM_Type,0))),"LTCG","STCG"))</f>
        <v/>
      </c>
      <c r="L123" s="71">
        <f>IF($C123="","",$G123-$H123)</f>
        <v/>
      </c>
      <c r="M123" s="71">
        <f>IF(OR($C123="",NOT(ISNUMBER($D123)),NOT(ISNUMBER($E123))),"",IF(AND(INDEX(AM_Index,MATCH($C123,AM_Type,0))=1,$K123="LTCG",$D123&lt;DATE(2024,7,23),Resident="Yes"),$F123*INDEX(CII_Val,MATCH(IF(MONTH($E123)&gt;=4,YEAR($E123),YEAR($E123)-1),CII_Year,0))/INDEX(CII_Val,MATCH(MAX(2001,IF(MONTH($D123)&gt;=4,YEAR($D123),YEAR($D123)-1)),CII_Year,0)),""))</f>
        <v/>
      </c>
      <c r="N123" s="71">
        <f>IF($C123="","",IF(AND(INDEX(AM_Grand,MATCH($C123,AM_Type,0))=1,$K123="LTCG",ISNUMBER($D123),$D123&lt;DATE(2018,2,1),$I123&lt;&gt;""),MAX($F123,MIN($I123,$G123)),$F123))</f>
        <v/>
      </c>
      <c r="O123" s="71">
        <f>IF($C123="","",$L123-$N123)</f>
        <v/>
      </c>
      <c r="P123" s="67">
        <f>IF($C123="","",IF(INDEX(AM_Cat,MATCH($C123,AM_Type,0))="SLABONLY","SLAB",IF($K123="","",IF($K123="STCG",IF(INDEX(AM_Cat,MATCH($C123,AM_Type,0))="EQ","EQ-ST","SLAB"),IF(INDEX(AM_Cat,MATCH($C123,AM_Type,0))="EQ","EQ-LT",IF(INDEX(AM_Cat,MATCH($C123,AM_Type,0))="PROP","PROP-LT","FLAT-LT"))))))</f>
        <v/>
      </c>
      <c r="Q123" s="71">
        <f>IF($C123="","",IF($P123="","",IF($P123="EQ-LT","pooled",IF($P123="EQ-ST",MAX(0,0.2*$O123),IF($P123="PROP-LT",IF($M123="",MAX(0,0.125*$O123),MAX(0,MIN(0.125*$O123,0.2*($L123-$M123)))),IF($P123="FLAT-LT",MAX(0,0.125*$O123),IF($P123="SLAB",MAX(0,Slab_Rate*$O123),"")))))))</f>
        <v/>
      </c>
    </row>
    <row r="124" ht="15" customHeight="1" s="37">
      <c r="A124" s="72">
        <f>IF($C124="","",ROW()-8)</f>
        <v/>
      </c>
      <c r="B124" s="75" t="n"/>
      <c r="C124" s="75" t="n"/>
      <c r="D124" s="76" t="n"/>
      <c r="E124" s="76" t="n"/>
      <c r="F124" s="77" t="n"/>
      <c r="G124" s="77" t="n"/>
      <c r="H124" s="77" t="n"/>
      <c r="I124" s="77" t="n"/>
      <c r="J124" s="72">
        <f>IF(OR($C124="",NOT(ISNUMBER($D124)),NOT(ISNUMBER($E124))),"",DATEDIF($D124,$E124,"m"))</f>
        <v/>
      </c>
      <c r="K124" s="72">
        <f>IF(OR($C124="",NOT(ISNUMBER($D124)),NOT(ISNUMBER($E124))),"",IF($E124&gt;EDATE($D124,INDEX(AM_LTm,MATCH($C124,AM_Type,0))),"LTCG","STCG"))</f>
        <v/>
      </c>
      <c r="L124" s="74">
        <f>IF($C124="","",$G124-$H124)</f>
        <v/>
      </c>
      <c r="M124" s="74">
        <f>IF(OR($C124="",NOT(ISNUMBER($D124)),NOT(ISNUMBER($E124))),"",IF(AND(INDEX(AM_Index,MATCH($C124,AM_Type,0))=1,$K124="LTCG",$D124&lt;DATE(2024,7,23),Resident="Yes"),$F124*INDEX(CII_Val,MATCH(IF(MONTH($E124)&gt;=4,YEAR($E124),YEAR($E124)-1),CII_Year,0))/INDEX(CII_Val,MATCH(MAX(2001,IF(MONTH($D124)&gt;=4,YEAR($D124),YEAR($D124)-1)),CII_Year,0)),""))</f>
        <v/>
      </c>
      <c r="N124" s="74">
        <f>IF($C124="","",IF(AND(INDEX(AM_Grand,MATCH($C124,AM_Type,0))=1,$K124="LTCG",ISNUMBER($D124),$D124&lt;DATE(2018,2,1),$I124&lt;&gt;""),MAX($F124,MIN($I124,$G124)),$F124))</f>
        <v/>
      </c>
      <c r="O124" s="74">
        <f>IF($C124="","",$L124-$N124)</f>
        <v/>
      </c>
      <c r="P124" s="72">
        <f>IF($C124="","",IF(INDEX(AM_Cat,MATCH($C124,AM_Type,0))="SLABONLY","SLAB",IF($K124="","",IF($K124="STCG",IF(INDEX(AM_Cat,MATCH($C124,AM_Type,0))="EQ","EQ-ST","SLAB"),IF(INDEX(AM_Cat,MATCH($C124,AM_Type,0))="EQ","EQ-LT",IF(INDEX(AM_Cat,MATCH($C124,AM_Type,0))="PROP","PROP-LT","FLAT-LT"))))))</f>
        <v/>
      </c>
      <c r="Q124" s="74">
        <f>IF($C124="","",IF($P124="","",IF($P124="EQ-LT","pooled",IF($P124="EQ-ST",MAX(0,0.2*$O124),IF($P124="PROP-LT",IF($M124="",MAX(0,0.125*$O124),MAX(0,MIN(0.125*$O124,0.2*($L124-$M124)))),IF($P124="FLAT-LT",MAX(0,0.125*$O124),IF($P124="SLAB",MAX(0,Slab_Rate*$O124),"")))))))</f>
        <v/>
      </c>
    </row>
    <row r="125" ht="15" customHeight="1" s="37">
      <c r="A125" s="67">
        <f>IF($C125="","",ROW()-8)</f>
        <v/>
      </c>
      <c r="B125" s="75" t="n"/>
      <c r="C125" s="75" t="n"/>
      <c r="D125" s="76" t="n"/>
      <c r="E125" s="76" t="n"/>
      <c r="F125" s="77" t="n"/>
      <c r="G125" s="77" t="n"/>
      <c r="H125" s="77" t="n"/>
      <c r="I125" s="77" t="n"/>
      <c r="J125" s="67">
        <f>IF(OR($C125="",NOT(ISNUMBER($D125)),NOT(ISNUMBER($E125))),"",DATEDIF($D125,$E125,"m"))</f>
        <v/>
      </c>
      <c r="K125" s="67">
        <f>IF(OR($C125="",NOT(ISNUMBER($D125)),NOT(ISNUMBER($E125))),"",IF($E125&gt;EDATE($D125,INDEX(AM_LTm,MATCH($C125,AM_Type,0))),"LTCG","STCG"))</f>
        <v/>
      </c>
      <c r="L125" s="71">
        <f>IF($C125="","",$G125-$H125)</f>
        <v/>
      </c>
      <c r="M125" s="71">
        <f>IF(OR($C125="",NOT(ISNUMBER($D125)),NOT(ISNUMBER($E125))),"",IF(AND(INDEX(AM_Index,MATCH($C125,AM_Type,0))=1,$K125="LTCG",$D125&lt;DATE(2024,7,23),Resident="Yes"),$F125*INDEX(CII_Val,MATCH(IF(MONTH($E125)&gt;=4,YEAR($E125),YEAR($E125)-1),CII_Year,0))/INDEX(CII_Val,MATCH(MAX(2001,IF(MONTH($D125)&gt;=4,YEAR($D125),YEAR($D125)-1)),CII_Year,0)),""))</f>
        <v/>
      </c>
      <c r="N125" s="71">
        <f>IF($C125="","",IF(AND(INDEX(AM_Grand,MATCH($C125,AM_Type,0))=1,$K125="LTCG",ISNUMBER($D125),$D125&lt;DATE(2018,2,1),$I125&lt;&gt;""),MAX($F125,MIN($I125,$G125)),$F125))</f>
        <v/>
      </c>
      <c r="O125" s="71">
        <f>IF($C125="","",$L125-$N125)</f>
        <v/>
      </c>
      <c r="P125" s="67">
        <f>IF($C125="","",IF(INDEX(AM_Cat,MATCH($C125,AM_Type,0))="SLABONLY","SLAB",IF($K125="","",IF($K125="STCG",IF(INDEX(AM_Cat,MATCH($C125,AM_Type,0))="EQ","EQ-ST","SLAB"),IF(INDEX(AM_Cat,MATCH($C125,AM_Type,0))="EQ","EQ-LT",IF(INDEX(AM_Cat,MATCH($C125,AM_Type,0))="PROP","PROP-LT","FLAT-LT"))))))</f>
        <v/>
      </c>
      <c r="Q125" s="71">
        <f>IF($C125="","",IF($P125="","",IF($P125="EQ-LT","pooled",IF($P125="EQ-ST",MAX(0,0.2*$O125),IF($P125="PROP-LT",IF($M125="",MAX(0,0.125*$O125),MAX(0,MIN(0.125*$O125,0.2*($L125-$M125)))),IF($P125="FLAT-LT",MAX(0,0.125*$O125),IF($P125="SLAB",MAX(0,Slab_Rate*$O125),"")))))))</f>
        <v/>
      </c>
    </row>
    <row r="126" ht="15" customHeight="1" s="37">
      <c r="A126" s="72">
        <f>IF($C126="","",ROW()-8)</f>
        <v/>
      </c>
      <c r="B126" s="75" t="n"/>
      <c r="C126" s="75" t="n"/>
      <c r="D126" s="76" t="n"/>
      <c r="E126" s="76" t="n"/>
      <c r="F126" s="77" t="n"/>
      <c r="G126" s="77" t="n"/>
      <c r="H126" s="77" t="n"/>
      <c r="I126" s="77" t="n"/>
      <c r="J126" s="72">
        <f>IF(OR($C126="",NOT(ISNUMBER($D126)),NOT(ISNUMBER($E126))),"",DATEDIF($D126,$E126,"m"))</f>
        <v/>
      </c>
      <c r="K126" s="72">
        <f>IF(OR($C126="",NOT(ISNUMBER($D126)),NOT(ISNUMBER($E126))),"",IF($E126&gt;EDATE($D126,INDEX(AM_LTm,MATCH($C126,AM_Type,0))),"LTCG","STCG"))</f>
        <v/>
      </c>
      <c r="L126" s="74">
        <f>IF($C126="","",$G126-$H126)</f>
        <v/>
      </c>
      <c r="M126" s="74">
        <f>IF(OR($C126="",NOT(ISNUMBER($D126)),NOT(ISNUMBER($E126))),"",IF(AND(INDEX(AM_Index,MATCH($C126,AM_Type,0))=1,$K126="LTCG",$D126&lt;DATE(2024,7,23),Resident="Yes"),$F126*INDEX(CII_Val,MATCH(IF(MONTH($E126)&gt;=4,YEAR($E126),YEAR($E126)-1),CII_Year,0))/INDEX(CII_Val,MATCH(MAX(2001,IF(MONTH($D126)&gt;=4,YEAR($D126),YEAR($D126)-1)),CII_Year,0)),""))</f>
        <v/>
      </c>
      <c r="N126" s="74">
        <f>IF($C126="","",IF(AND(INDEX(AM_Grand,MATCH($C126,AM_Type,0))=1,$K126="LTCG",ISNUMBER($D126),$D126&lt;DATE(2018,2,1),$I126&lt;&gt;""),MAX($F126,MIN($I126,$G126)),$F126))</f>
        <v/>
      </c>
      <c r="O126" s="74">
        <f>IF($C126="","",$L126-$N126)</f>
        <v/>
      </c>
      <c r="P126" s="72">
        <f>IF($C126="","",IF(INDEX(AM_Cat,MATCH($C126,AM_Type,0))="SLABONLY","SLAB",IF($K126="","",IF($K126="STCG",IF(INDEX(AM_Cat,MATCH($C126,AM_Type,0))="EQ","EQ-ST","SLAB"),IF(INDEX(AM_Cat,MATCH($C126,AM_Type,0))="EQ","EQ-LT",IF(INDEX(AM_Cat,MATCH($C126,AM_Type,0))="PROP","PROP-LT","FLAT-LT"))))))</f>
        <v/>
      </c>
      <c r="Q126" s="74">
        <f>IF($C126="","",IF($P126="","",IF($P126="EQ-LT","pooled",IF($P126="EQ-ST",MAX(0,0.2*$O126),IF($P126="PROP-LT",IF($M126="",MAX(0,0.125*$O126),MAX(0,MIN(0.125*$O126,0.2*($L126-$M126)))),IF($P126="FLAT-LT",MAX(0,0.125*$O126),IF($P126="SLAB",MAX(0,Slab_Rate*$O126),"")))))))</f>
        <v/>
      </c>
    </row>
    <row r="127" ht="15" customHeight="1" s="37">
      <c r="A127" s="67">
        <f>IF($C127="","",ROW()-8)</f>
        <v/>
      </c>
      <c r="B127" s="75" t="n"/>
      <c r="C127" s="75" t="n"/>
      <c r="D127" s="76" t="n"/>
      <c r="E127" s="76" t="n"/>
      <c r="F127" s="77" t="n"/>
      <c r="G127" s="77" t="n"/>
      <c r="H127" s="77" t="n"/>
      <c r="I127" s="77" t="n"/>
      <c r="J127" s="67">
        <f>IF(OR($C127="",NOT(ISNUMBER($D127)),NOT(ISNUMBER($E127))),"",DATEDIF($D127,$E127,"m"))</f>
        <v/>
      </c>
      <c r="K127" s="67">
        <f>IF(OR($C127="",NOT(ISNUMBER($D127)),NOT(ISNUMBER($E127))),"",IF($E127&gt;EDATE($D127,INDEX(AM_LTm,MATCH($C127,AM_Type,0))),"LTCG","STCG"))</f>
        <v/>
      </c>
      <c r="L127" s="71">
        <f>IF($C127="","",$G127-$H127)</f>
        <v/>
      </c>
      <c r="M127" s="71">
        <f>IF(OR($C127="",NOT(ISNUMBER($D127)),NOT(ISNUMBER($E127))),"",IF(AND(INDEX(AM_Index,MATCH($C127,AM_Type,0))=1,$K127="LTCG",$D127&lt;DATE(2024,7,23),Resident="Yes"),$F127*INDEX(CII_Val,MATCH(IF(MONTH($E127)&gt;=4,YEAR($E127),YEAR($E127)-1),CII_Year,0))/INDEX(CII_Val,MATCH(MAX(2001,IF(MONTH($D127)&gt;=4,YEAR($D127),YEAR($D127)-1)),CII_Year,0)),""))</f>
        <v/>
      </c>
      <c r="N127" s="71">
        <f>IF($C127="","",IF(AND(INDEX(AM_Grand,MATCH($C127,AM_Type,0))=1,$K127="LTCG",ISNUMBER($D127),$D127&lt;DATE(2018,2,1),$I127&lt;&gt;""),MAX($F127,MIN($I127,$G127)),$F127))</f>
        <v/>
      </c>
      <c r="O127" s="71">
        <f>IF($C127="","",$L127-$N127)</f>
        <v/>
      </c>
      <c r="P127" s="67">
        <f>IF($C127="","",IF(INDEX(AM_Cat,MATCH($C127,AM_Type,0))="SLABONLY","SLAB",IF($K127="","",IF($K127="STCG",IF(INDEX(AM_Cat,MATCH($C127,AM_Type,0))="EQ","EQ-ST","SLAB"),IF(INDEX(AM_Cat,MATCH($C127,AM_Type,0))="EQ","EQ-LT",IF(INDEX(AM_Cat,MATCH($C127,AM_Type,0))="PROP","PROP-LT","FLAT-LT"))))))</f>
        <v/>
      </c>
      <c r="Q127" s="71">
        <f>IF($C127="","",IF($P127="","",IF($P127="EQ-LT","pooled",IF($P127="EQ-ST",MAX(0,0.2*$O127),IF($P127="PROP-LT",IF($M127="",MAX(0,0.125*$O127),MAX(0,MIN(0.125*$O127,0.2*($L127-$M127)))),IF($P127="FLAT-LT",MAX(0,0.125*$O127),IF($P127="SLAB",MAX(0,Slab_Rate*$O127),"")))))))</f>
        <v/>
      </c>
    </row>
    <row r="128" ht="15" customHeight="1" s="37">
      <c r="A128" s="72">
        <f>IF($C128="","",ROW()-8)</f>
        <v/>
      </c>
      <c r="B128" s="75" t="n"/>
      <c r="C128" s="75" t="n"/>
      <c r="D128" s="76" t="n"/>
      <c r="E128" s="76" t="n"/>
      <c r="F128" s="77" t="n"/>
      <c r="G128" s="77" t="n"/>
      <c r="H128" s="77" t="n"/>
      <c r="I128" s="77" t="n"/>
      <c r="J128" s="72">
        <f>IF(OR($C128="",NOT(ISNUMBER($D128)),NOT(ISNUMBER($E128))),"",DATEDIF($D128,$E128,"m"))</f>
        <v/>
      </c>
      <c r="K128" s="72">
        <f>IF(OR($C128="",NOT(ISNUMBER($D128)),NOT(ISNUMBER($E128))),"",IF($E128&gt;EDATE($D128,INDEX(AM_LTm,MATCH($C128,AM_Type,0))),"LTCG","STCG"))</f>
        <v/>
      </c>
      <c r="L128" s="74">
        <f>IF($C128="","",$G128-$H128)</f>
        <v/>
      </c>
      <c r="M128" s="74">
        <f>IF(OR($C128="",NOT(ISNUMBER($D128)),NOT(ISNUMBER($E128))),"",IF(AND(INDEX(AM_Index,MATCH($C128,AM_Type,0))=1,$K128="LTCG",$D128&lt;DATE(2024,7,23),Resident="Yes"),$F128*INDEX(CII_Val,MATCH(IF(MONTH($E128)&gt;=4,YEAR($E128),YEAR($E128)-1),CII_Year,0))/INDEX(CII_Val,MATCH(MAX(2001,IF(MONTH($D128)&gt;=4,YEAR($D128),YEAR($D128)-1)),CII_Year,0)),""))</f>
        <v/>
      </c>
      <c r="N128" s="74">
        <f>IF($C128="","",IF(AND(INDEX(AM_Grand,MATCH($C128,AM_Type,0))=1,$K128="LTCG",ISNUMBER($D128),$D128&lt;DATE(2018,2,1),$I128&lt;&gt;""),MAX($F128,MIN($I128,$G128)),$F128))</f>
        <v/>
      </c>
      <c r="O128" s="74">
        <f>IF($C128="","",$L128-$N128)</f>
        <v/>
      </c>
      <c r="P128" s="72">
        <f>IF($C128="","",IF(INDEX(AM_Cat,MATCH($C128,AM_Type,0))="SLABONLY","SLAB",IF($K128="","",IF($K128="STCG",IF(INDEX(AM_Cat,MATCH($C128,AM_Type,0))="EQ","EQ-ST","SLAB"),IF(INDEX(AM_Cat,MATCH($C128,AM_Type,0))="EQ","EQ-LT",IF(INDEX(AM_Cat,MATCH($C128,AM_Type,0))="PROP","PROP-LT","FLAT-LT"))))))</f>
        <v/>
      </c>
      <c r="Q128" s="74">
        <f>IF($C128="","",IF($P128="","",IF($P128="EQ-LT","pooled",IF($P128="EQ-ST",MAX(0,0.2*$O128),IF($P128="PROP-LT",IF($M128="",MAX(0,0.125*$O128),MAX(0,MIN(0.125*$O128,0.2*($L128-$M128)))),IF($P128="FLAT-LT",MAX(0,0.125*$O128),IF($P128="SLAB",MAX(0,Slab_Rate*$O128),"")))))))</f>
        <v/>
      </c>
    </row>
    <row r="129" ht="15" customHeight="1" s="37">
      <c r="A129" s="67">
        <f>IF($C129="","",ROW()-8)</f>
        <v/>
      </c>
      <c r="B129" s="75" t="n"/>
      <c r="C129" s="75" t="n"/>
      <c r="D129" s="76" t="n"/>
      <c r="E129" s="76" t="n"/>
      <c r="F129" s="77" t="n"/>
      <c r="G129" s="77" t="n"/>
      <c r="H129" s="77" t="n"/>
      <c r="I129" s="77" t="n"/>
      <c r="J129" s="67">
        <f>IF(OR($C129="",NOT(ISNUMBER($D129)),NOT(ISNUMBER($E129))),"",DATEDIF($D129,$E129,"m"))</f>
        <v/>
      </c>
      <c r="K129" s="67">
        <f>IF(OR($C129="",NOT(ISNUMBER($D129)),NOT(ISNUMBER($E129))),"",IF($E129&gt;EDATE($D129,INDEX(AM_LTm,MATCH($C129,AM_Type,0))),"LTCG","STCG"))</f>
        <v/>
      </c>
      <c r="L129" s="71">
        <f>IF($C129="","",$G129-$H129)</f>
        <v/>
      </c>
      <c r="M129" s="71">
        <f>IF(OR($C129="",NOT(ISNUMBER($D129)),NOT(ISNUMBER($E129))),"",IF(AND(INDEX(AM_Index,MATCH($C129,AM_Type,0))=1,$K129="LTCG",$D129&lt;DATE(2024,7,23),Resident="Yes"),$F129*INDEX(CII_Val,MATCH(IF(MONTH($E129)&gt;=4,YEAR($E129),YEAR($E129)-1),CII_Year,0))/INDEX(CII_Val,MATCH(MAX(2001,IF(MONTH($D129)&gt;=4,YEAR($D129),YEAR($D129)-1)),CII_Year,0)),""))</f>
        <v/>
      </c>
      <c r="N129" s="71">
        <f>IF($C129="","",IF(AND(INDEX(AM_Grand,MATCH($C129,AM_Type,0))=1,$K129="LTCG",ISNUMBER($D129),$D129&lt;DATE(2018,2,1),$I129&lt;&gt;""),MAX($F129,MIN($I129,$G129)),$F129))</f>
        <v/>
      </c>
      <c r="O129" s="71">
        <f>IF($C129="","",$L129-$N129)</f>
        <v/>
      </c>
      <c r="P129" s="67">
        <f>IF($C129="","",IF(INDEX(AM_Cat,MATCH($C129,AM_Type,0))="SLABONLY","SLAB",IF($K129="","",IF($K129="STCG",IF(INDEX(AM_Cat,MATCH($C129,AM_Type,0))="EQ","EQ-ST","SLAB"),IF(INDEX(AM_Cat,MATCH($C129,AM_Type,0))="EQ","EQ-LT",IF(INDEX(AM_Cat,MATCH($C129,AM_Type,0))="PROP","PROP-LT","FLAT-LT"))))))</f>
        <v/>
      </c>
      <c r="Q129" s="71">
        <f>IF($C129="","",IF($P129="","",IF($P129="EQ-LT","pooled",IF($P129="EQ-ST",MAX(0,0.2*$O129),IF($P129="PROP-LT",IF($M129="",MAX(0,0.125*$O129),MAX(0,MIN(0.125*$O129,0.2*($L129-$M129)))),IF($P129="FLAT-LT",MAX(0,0.125*$O129),IF($P129="SLAB",MAX(0,Slab_Rate*$O129),"")))))))</f>
        <v/>
      </c>
    </row>
    <row r="130" ht="15" customHeight="1" s="37">
      <c r="A130" s="72">
        <f>IF($C130="","",ROW()-8)</f>
        <v/>
      </c>
      <c r="B130" s="75" t="n"/>
      <c r="C130" s="75" t="n"/>
      <c r="D130" s="76" t="n"/>
      <c r="E130" s="76" t="n"/>
      <c r="F130" s="77" t="n"/>
      <c r="G130" s="77" t="n"/>
      <c r="H130" s="77" t="n"/>
      <c r="I130" s="77" t="n"/>
      <c r="J130" s="72">
        <f>IF(OR($C130="",NOT(ISNUMBER($D130)),NOT(ISNUMBER($E130))),"",DATEDIF($D130,$E130,"m"))</f>
        <v/>
      </c>
      <c r="K130" s="72">
        <f>IF(OR($C130="",NOT(ISNUMBER($D130)),NOT(ISNUMBER($E130))),"",IF($E130&gt;EDATE($D130,INDEX(AM_LTm,MATCH($C130,AM_Type,0))),"LTCG","STCG"))</f>
        <v/>
      </c>
      <c r="L130" s="74">
        <f>IF($C130="","",$G130-$H130)</f>
        <v/>
      </c>
      <c r="M130" s="74">
        <f>IF(OR($C130="",NOT(ISNUMBER($D130)),NOT(ISNUMBER($E130))),"",IF(AND(INDEX(AM_Index,MATCH($C130,AM_Type,0))=1,$K130="LTCG",$D130&lt;DATE(2024,7,23),Resident="Yes"),$F130*INDEX(CII_Val,MATCH(IF(MONTH($E130)&gt;=4,YEAR($E130),YEAR($E130)-1),CII_Year,0))/INDEX(CII_Val,MATCH(MAX(2001,IF(MONTH($D130)&gt;=4,YEAR($D130),YEAR($D130)-1)),CII_Year,0)),""))</f>
        <v/>
      </c>
      <c r="N130" s="74">
        <f>IF($C130="","",IF(AND(INDEX(AM_Grand,MATCH($C130,AM_Type,0))=1,$K130="LTCG",ISNUMBER($D130),$D130&lt;DATE(2018,2,1),$I130&lt;&gt;""),MAX($F130,MIN($I130,$G130)),$F130))</f>
        <v/>
      </c>
      <c r="O130" s="74">
        <f>IF($C130="","",$L130-$N130)</f>
        <v/>
      </c>
      <c r="P130" s="72">
        <f>IF($C130="","",IF(INDEX(AM_Cat,MATCH($C130,AM_Type,0))="SLABONLY","SLAB",IF($K130="","",IF($K130="STCG",IF(INDEX(AM_Cat,MATCH($C130,AM_Type,0))="EQ","EQ-ST","SLAB"),IF(INDEX(AM_Cat,MATCH($C130,AM_Type,0))="EQ","EQ-LT",IF(INDEX(AM_Cat,MATCH($C130,AM_Type,0))="PROP","PROP-LT","FLAT-LT"))))))</f>
        <v/>
      </c>
      <c r="Q130" s="74">
        <f>IF($C130="","",IF($P130="","",IF($P130="EQ-LT","pooled",IF($P130="EQ-ST",MAX(0,0.2*$O130),IF($P130="PROP-LT",IF($M130="",MAX(0,0.125*$O130),MAX(0,MIN(0.125*$O130,0.2*($L130-$M130)))),IF($P130="FLAT-LT",MAX(0,0.125*$O130),IF($P130="SLAB",MAX(0,Slab_Rate*$O130),"")))))))</f>
        <v/>
      </c>
    </row>
    <row r="131" ht="15" customHeight="1" s="37">
      <c r="A131" s="67">
        <f>IF($C131="","",ROW()-8)</f>
        <v/>
      </c>
      <c r="B131" s="75" t="n"/>
      <c r="C131" s="75" t="n"/>
      <c r="D131" s="76" t="n"/>
      <c r="E131" s="76" t="n"/>
      <c r="F131" s="77" t="n"/>
      <c r="G131" s="77" t="n"/>
      <c r="H131" s="77" t="n"/>
      <c r="I131" s="77" t="n"/>
      <c r="J131" s="67">
        <f>IF(OR($C131="",NOT(ISNUMBER($D131)),NOT(ISNUMBER($E131))),"",DATEDIF($D131,$E131,"m"))</f>
        <v/>
      </c>
      <c r="K131" s="67">
        <f>IF(OR($C131="",NOT(ISNUMBER($D131)),NOT(ISNUMBER($E131))),"",IF($E131&gt;EDATE($D131,INDEX(AM_LTm,MATCH($C131,AM_Type,0))),"LTCG","STCG"))</f>
        <v/>
      </c>
      <c r="L131" s="71">
        <f>IF($C131="","",$G131-$H131)</f>
        <v/>
      </c>
      <c r="M131" s="71">
        <f>IF(OR($C131="",NOT(ISNUMBER($D131)),NOT(ISNUMBER($E131))),"",IF(AND(INDEX(AM_Index,MATCH($C131,AM_Type,0))=1,$K131="LTCG",$D131&lt;DATE(2024,7,23),Resident="Yes"),$F131*INDEX(CII_Val,MATCH(IF(MONTH($E131)&gt;=4,YEAR($E131),YEAR($E131)-1),CII_Year,0))/INDEX(CII_Val,MATCH(MAX(2001,IF(MONTH($D131)&gt;=4,YEAR($D131),YEAR($D131)-1)),CII_Year,0)),""))</f>
        <v/>
      </c>
      <c r="N131" s="71">
        <f>IF($C131="","",IF(AND(INDEX(AM_Grand,MATCH($C131,AM_Type,0))=1,$K131="LTCG",ISNUMBER($D131),$D131&lt;DATE(2018,2,1),$I131&lt;&gt;""),MAX($F131,MIN($I131,$G131)),$F131))</f>
        <v/>
      </c>
      <c r="O131" s="71">
        <f>IF($C131="","",$L131-$N131)</f>
        <v/>
      </c>
      <c r="P131" s="67">
        <f>IF($C131="","",IF(INDEX(AM_Cat,MATCH($C131,AM_Type,0))="SLABONLY","SLAB",IF($K131="","",IF($K131="STCG",IF(INDEX(AM_Cat,MATCH($C131,AM_Type,0))="EQ","EQ-ST","SLAB"),IF(INDEX(AM_Cat,MATCH($C131,AM_Type,0))="EQ","EQ-LT",IF(INDEX(AM_Cat,MATCH($C131,AM_Type,0))="PROP","PROP-LT","FLAT-LT"))))))</f>
        <v/>
      </c>
      <c r="Q131" s="71">
        <f>IF($C131="","",IF($P131="","",IF($P131="EQ-LT","pooled",IF($P131="EQ-ST",MAX(0,0.2*$O131),IF($P131="PROP-LT",IF($M131="",MAX(0,0.125*$O131),MAX(0,MIN(0.125*$O131,0.2*($L131-$M131)))),IF($P131="FLAT-LT",MAX(0,0.125*$O131),IF($P131="SLAB",MAX(0,Slab_Rate*$O131),"")))))))</f>
        <v/>
      </c>
    </row>
    <row r="132" ht="15" customHeight="1" s="37">
      <c r="A132" s="72">
        <f>IF($C132="","",ROW()-8)</f>
        <v/>
      </c>
      <c r="B132" s="75" t="n"/>
      <c r="C132" s="75" t="n"/>
      <c r="D132" s="76" t="n"/>
      <c r="E132" s="76" t="n"/>
      <c r="F132" s="77" t="n"/>
      <c r="G132" s="77" t="n"/>
      <c r="H132" s="77" t="n"/>
      <c r="I132" s="77" t="n"/>
      <c r="J132" s="72">
        <f>IF(OR($C132="",NOT(ISNUMBER($D132)),NOT(ISNUMBER($E132))),"",DATEDIF($D132,$E132,"m"))</f>
        <v/>
      </c>
      <c r="K132" s="72">
        <f>IF(OR($C132="",NOT(ISNUMBER($D132)),NOT(ISNUMBER($E132))),"",IF($E132&gt;EDATE($D132,INDEX(AM_LTm,MATCH($C132,AM_Type,0))),"LTCG","STCG"))</f>
        <v/>
      </c>
      <c r="L132" s="74">
        <f>IF($C132="","",$G132-$H132)</f>
        <v/>
      </c>
      <c r="M132" s="74">
        <f>IF(OR($C132="",NOT(ISNUMBER($D132)),NOT(ISNUMBER($E132))),"",IF(AND(INDEX(AM_Index,MATCH($C132,AM_Type,0))=1,$K132="LTCG",$D132&lt;DATE(2024,7,23),Resident="Yes"),$F132*INDEX(CII_Val,MATCH(IF(MONTH($E132)&gt;=4,YEAR($E132),YEAR($E132)-1),CII_Year,0))/INDEX(CII_Val,MATCH(MAX(2001,IF(MONTH($D132)&gt;=4,YEAR($D132),YEAR($D132)-1)),CII_Year,0)),""))</f>
        <v/>
      </c>
      <c r="N132" s="74">
        <f>IF($C132="","",IF(AND(INDEX(AM_Grand,MATCH($C132,AM_Type,0))=1,$K132="LTCG",ISNUMBER($D132),$D132&lt;DATE(2018,2,1),$I132&lt;&gt;""),MAX($F132,MIN($I132,$G132)),$F132))</f>
        <v/>
      </c>
      <c r="O132" s="74">
        <f>IF($C132="","",$L132-$N132)</f>
        <v/>
      </c>
      <c r="P132" s="72">
        <f>IF($C132="","",IF(INDEX(AM_Cat,MATCH($C132,AM_Type,0))="SLABONLY","SLAB",IF($K132="","",IF($K132="STCG",IF(INDEX(AM_Cat,MATCH($C132,AM_Type,0))="EQ","EQ-ST","SLAB"),IF(INDEX(AM_Cat,MATCH($C132,AM_Type,0))="EQ","EQ-LT",IF(INDEX(AM_Cat,MATCH($C132,AM_Type,0))="PROP","PROP-LT","FLAT-LT"))))))</f>
        <v/>
      </c>
      <c r="Q132" s="74">
        <f>IF($C132="","",IF($P132="","",IF($P132="EQ-LT","pooled",IF($P132="EQ-ST",MAX(0,0.2*$O132),IF($P132="PROP-LT",IF($M132="",MAX(0,0.125*$O132),MAX(0,MIN(0.125*$O132,0.2*($L132-$M132)))),IF($P132="FLAT-LT",MAX(0,0.125*$O132),IF($P132="SLAB",MAX(0,Slab_Rate*$O132),"")))))))</f>
        <v/>
      </c>
    </row>
    <row r="133" ht="15" customHeight="1" s="37">
      <c r="A133" s="67">
        <f>IF($C133="","",ROW()-8)</f>
        <v/>
      </c>
      <c r="B133" s="75" t="n"/>
      <c r="C133" s="75" t="n"/>
      <c r="D133" s="76" t="n"/>
      <c r="E133" s="76" t="n"/>
      <c r="F133" s="77" t="n"/>
      <c r="G133" s="77" t="n"/>
      <c r="H133" s="77" t="n"/>
      <c r="I133" s="77" t="n"/>
      <c r="J133" s="67">
        <f>IF(OR($C133="",NOT(ISNUMBER($D133)),NOT(ISNUMBER($E133))),"",DATEDIF($D133,$E133,"m"))</f>
        <v/>
      </c>
      <c r="K133" s="67">
        <f>IF(OR($C133="",NOT(ISNUMBER($D133)),NOT(ISNUMBER($E133))),"",IF($E133&gt;EDATE($D133,INDEX(AM_LTm,MATCH($C133,AM_Type,0))),"LTCG","STCG"))</f>
        <v/>
      </c>
      <c r="L133" s="71">
        <f>IF($C133="","",$G133-$H133)</f>
        <v/>
      </c>
      <c r="M133" s="71">
        <f>IF(OR($C133="",NOT(ISNUMBER($D133)),NOT(ISNUMBER($E133))),"",IF(AND(INDEX(AM_Index,MATCH($C133,AM_Type,0))=1,$K133="LTCG",$D133&lt;DATE(2024,7,23),Resident="Yes"),$F133*INDEX(CII_Val,MATCH(IF(MONTH($E133)&gt;=4,YEAR($E133),YEAR($E133)-1),CII_Year,0))/INDEX(CII_Val,MATCH(MAX(2001,IF(MONTH($D133)&gt;=4,YEAR($D133),YEAR($D133)-1)),CII_Year,0)),""))</f>
        <v/>
      </c>
      <c r="N133" s="71">
        <f>IF($C133="","",IF(AND(INDEX(AM_Grand,MATCH($C133,AM_Type,0))=1,$K133="LTCG",ISNUMBER($D133),$D133&lt;DATE(2018,2,1),$I133&lt;&gt;""),MAX($F133,MIN($I133,$G133)),$F133))</f>
        <v/>
      </c>
      <c r="O133" s="71">
        <f>IF($C133="","",$L133-$N133)</f>
        <v/>
      </c>
      <c r="P133" s="67">
        <f>IF($C133="","",IF(INDEX(AM_Cat,MATCH($C133,AM_Type,0))="SLABONLY","SLAB",IF($K133="","",IF($K133="STCG",IF(INDEX(AM_Cat,MATCH($C133,AM_Type,0))="EQ","EQ-ST","SLAB"),IF(INDEX(AM_Cat,MATCH($C133,AM_Type,0))="EQ","EQ-LT",IF(INDEX(AM_Cat,MATCH($C133,AM_Type,0))="PROP","PROP-LT","FLAT-LT"))))))</f>
        <v/>
      </c>
      <c r="Q133" s="71">
        <f>IF($C133="","",IF($P133="","",IF($P133="EQ-LT","pooled",IF($P133="EQ-ST",MAX(0,0.2*$O133),IF($P133="PROP-LT",IF($M133="",MAX(0,0.125*$O133),MAX(0,MIN(0.125*$O133,0.2*($L133-$M133)))),IF($P133="FLAT-LT",MAX(0,0.125*$O133),IF($P133="SLAB",MAX(0,Slab_Rate*$O133),"")))))))</f>
        <v/>
      </c>
    </row>
    <row r="134" ht="15" customHeight="1" s="37">
      <c r="A134" s="72">
        <f>IF($C134="","",ROW()-8)</f>
        <v/>
      </c>
      <c r="B134" s="75" t="n"/>
      <c r="C134" s="75" t="n"/>
      <c r="D134" s="76" t="n"/>
      <c r="E134" s="76" t="n"/>
      <c r="F134" s="77" t="n"/>
      <c r="G134" s="77" t="n"/>
      <c r="H134" s="77" t="n"/>
      <c r="I134" s="77" t="n"/>
      <c r="J134" s="72">
        <f>IF(OR($C134="",NOT(ISNUMBER($D134)),NOT(ISNUMBER($E134))),"",DATEDIF($D134,$E134,"m"))</f>
        <v/>
      </c>
      <c r="K134" s="72">
        <f>IF(OR($C134="",NOT(ISNUMBER($D134)),NOT(ISNUMBER($E134))),"",IF($E134&gt;EDATE($D134,INDEX(AM_LTm,MATCH($C134,AM_Type,0))),"LTCG","STCG"))</f>
        <v/>
      </c>
      <c r="L134" s="74">
        <f>IF($C134="","",$G134-$H134)</f>
        <v/>
      </c>
      <c r="M134" s="74">
        <f>IF(OR($C134="",NOT(ISNUMBER($D134)),NOT(ISNUMBER($E134))),"",IF(AND(INDEX(AM_Index,MATCH($C134,AM_Type,0))=1,$K134="LTCG",$D134&lt;DATE(2024,7,23),Resident="Yes"),$F134*INDEX(CII_Val,MATCH(IF(MONTH($E134)&gt;=4,YEAR($E134),YEAR($E134)-1),CII_Year,0))/INDEX(CII_Val,MATCH(MAX(2001,IF(MONTH($D134)&gt;=4,YEAR($D134),YEAR($D134)-1)),CII_Year,0)),""))</f>
        <v/>
      </c>
      <c r="N134" s="74">
        <f>IF($C134="","",IF(AND(INDEX(AM_Grand,MATCH($C134,AM_Type,0))=1,$K134="LTCG",ISNUMBER($D134),$D134&lt;DATE(2018,2,1),$I134&lt;&gt;""),MAX($F134,MIN($I134,$G134)),$F134))</f>
        <v/>
      </c>
      <c r="O134" s="74">
        <f>IF($C134="","",$L134-$N134)</f>
        <v/>
      </c>
      <c r="P134" s="72">
        <f>IF($C134="","",IF(INDEX(AM_Cat,MATCH($C134,AM_Type,0))="SLABONLY","SLAB",IF($K134="","",IF($K134="STCG",IF(INDEX(AM_Cat,MATCH($C134,AM_Type,0))="EQ","EQ-ST","SLAB"),IF(INDEX(AM_Cat,MATCH($C134,AM_Type,0))="EQ","EQ-LT",IF(INDEX(AM_Cat,MATCH($C134,AM_Type,0))="PROP","PROP-LT","FLAT-LT"))))))</f>
        <v/>
      </c>
      <c r="Q134" s="74">
        <f>IF($C134="","",IF($P134="","",IF($P134="EQ-LT","pooled",IF($P134="EQ-ST",MAX(0,0.2*$O134),IF($P134="PROP-LT",IF($M134="",MAX(0,0.125*$O134),MAX(0,MIN(0.125*$O134,0.2*($L134-$M134)))),IF($P134="FLAT-LT",MAX(0,0.125*$O134),IF($P134="SLAB",MAX(0,Slab_Rate*$O134),"")))))))</f>
        <v/>
      </c>
    </row>
    <row r="135" ht="15" customHeight="1" s="37">
      <c r="A135" s="67">
        <f>IF($C135="","",ROW()-8)</f>
        <v/>
      </c>
      <c r="B135" s="75" t="n"/>
      <c r="C135" s="75" t="n"/>
      <c r="D135" s="76" t="n"/>
      <c r="E135" s="76" t="n"/>
      <c r="F135" s="77" t="n"/>
      <c r="G135" s="77" t="n"/>
      <c r="H135" s="77" t="n"/>
      <c r="I135" s="77" t="n"/>
      <c r="J135" s="67">
        <f>IF(OR($C135="",NOT(ISNUMBER($D135)),NOT(ISNUMBER($E135))),"",DATEDIF($D135,$E135,"m"))</f>
        <v/>
      </c>
      <c r="K135" s="67">
        <f>IF(OR($C135="",NOT(ISNUMBER($D135)),NOT(ISNUMBER($E135))),"",IF($E135&gt;EDATE($D135,INDEX(AM_LTm,MATCH($C135,AM_Type,0))),"LTCG","STCG"))</f>
        <v/>
      </c>
      <c r="L135" s="71">
        <f>IF($C135="","",$G135-$H135)</f>
        <v/>
      </c>
      <c r="M135" s="71">
        <f>IF(OR($C135="",NOT(ISNUMBER($D135)),NOT(ISNUMBER($E135))),"",IF(AND(INDEX(AM_Index,MATCH($C135,AM_Type,0))=1,$K135="LTCG",$D135&lt;DATE(2024,7,23),Resident="Yes"),$F135*INDEX(CII_Val,MATCH(IF(MONTH($E135)&gt;=4,YEAR($E135),YEAR($E135)-1),CII_Year,0))/INDEX(CII_Val,MATCH(MAX(2001,IF(MONTH($D135)&gt;=4,YEAR($D135),YEAR($D135)-1)),CII_Year,0)),""))</f>
        <v/>
      </c>
      <c r="N135" s="71">
        <f>IF($C135="","",IF(AND(INDEX(AM_Grand,MATCH($C135,AM_Type,0))=1,$K135="LTCG",ISNUMBER($D135),$D135&lt;DATE(2018,2,1),$I135&lt;&gt;""),MAX($F135,MIN($I135,$G135)),$F135))</f>
        <v/>
      </c>
      <c r="O135" s="71">
        <f>IF($C135="","",$L135-$N135)</f>
        <v/>
      </c>
      <c r="P135" s="67">
        <f>IF($C135="","",IF(INDEX(AM_Cat,MATCH($C135,AM_Type,0))="SLABONLY","SLAB",IF($K135="","",IF($K135="STCG",IF(INDEX(AM_Cat,MATCH($C135,AM_Type,0))="EQ","EQ-ST","SLAB"),IF(INDEX(AM_Cat,MATCH($C135,AM_Type,0))="EQ","EQ-LT",IF(INDEX(AM_Cat,MATCH($C135,AM_Type,0))="PROP","PROP-LT","FLAT-LT"))))))</f>
        <v/>
      </c>
      <c r="Q135" s="71">
        <f>IF($C135="","",IF($P135="","",IF($P135="EQ-LT","pooled",IF($P135="EQ-ST",MAX(0,0.2*$O135),IF($P135="PROP-LT",IF($M135="",MAX(0,0.125*$O135),MAX(0,MIN(0.125*$O135,0.2*($L135-$M135)))),IF($P135="FLAT-LT",MAX(0,0.125*$O135),IF($P135="SLAB",MAX(0,Slab_Rate*$O135),"")))))))</f>
        <v/>
      </c>
    </row>
    <row r="136" ht="15" customHeight="1" s="37">
      <c r="A136" s="72">
        <f>IF($C136="","",ROW()-8)</f>
        <v/>
      </c>
      <c r="B136" s="75" t="n"/>
      <c r="C136" s="75" t="n"/>
      <c r="D136" s="76" t="n"/>
      <c r="E136" s="76" t="n"/>
      <c r="F136" s="77" t="n"/>
      <c r="G136" s="77" t="n"/>
      <c r="H136" s="77" t="n"/>
      <c r="I136" s="77" t="n"/>
      <c r="J136" s="72">
        <f>IF(OR($C136="",NOT(ISNUMBER($D136)),NOT(ISNUMBER($E136))),"",DATEDIF($D136,$E136,"m"))</f>
        <v/>
      </c>
      <c r="K136" s="72">
        <f>IF(OR($C136="",NOT(ISNUMBER($D136)),NOT(ISNUMBER($E136))),"",IF($E136&gt;EDATE($D136,INDEX(AM_LTm,MATCH($C136,AM_Type,0))),"LTCG","STCG"))</f>
        <v/>
      </c>
      <c r="L136" s="74">
        <f>IF($C136="","",$G136-$H136)</f>
        <v/>
      </c>
      <c r="M136" s="74">
        <f>IF(OR($C136="",NOT(ISNUMBER($D136)),NOT(ISNUMBER($E136))),"",IF(AND(INDEX(AM_Index,MATCH($C136,AM_Type,0))=1,$K136="LTCG",$D136&lt;DATE(2024,7,23),Resident="Yes"),$F136*INDEX(CII_Val,MATCH(IF(MONTH($E136)&gt;=4,YEAR($E136),YEAR($E136)-1),CII_Year,0))/INDEX(CII_Val,MATCH(MAX(2001,IF(MONTH($D136)&gt;=4,YEAR($D136),YEAR($D136)-1)),CII_Year,0)),""))</f>
        <v/>
      </c>
      <c r="N136" s="74">
        <f>IF($C136="","",IF(AND(INDEX(AM_Grand,MATCH($C136,AM_Type,0))=1,$K136="LTCG",ISNUMBER($D136),$D136&lt;DATE(2018,2,1),$I136&lt;&gt;""),MAX($F136,MIN($I136,$G136)),$F136))</f>
        <v/>
      </c>
      <c r="O136" s="74">
        <f>IF($C136="","",$L136-$N136)</f>
        <v/>
      </c>
      <c r="P136" s="72">
        <f>IF($C136="","",IF(INDEX(AM_Cat,MATCH($C136,AM_Type,0))="SLABONLY","SLAB",IF($K136="","",IF($K136="STCG",IF(INDEX(AM_Cat,MATCH($C136,AM_Type,0))="EQ","EQ-ST","SLAB"),IF(INDEX(AM_Cat,MATCH($C136,AM_Type,0))="EQ","EQ-LT",IF(INDEX(AM_Cat,MATCH($C136,AM_Type,0))="PROP","PROP-LT","FLAT-LT"))))))</f>
        <v/>
      </c>
      <c r="Q136" s="74">
        <f>IF($C136="","",IF($P136="","",IF($P136="EQ-LT","pooled",IF($P136="EQ-ST",MAX(0,0.2*$O136),IF($P136="PROP-LT",IF($M136="",MAX(0,0.125*$O136),MAX(0,MIN(0.125*$O136,0.2*($L136-$M136)))),IF($P136="FLAT-LT",MAX(0,0.125*$O136),IF($P136="SLAB",MAX(0,Slab_Rate*$O136),"")))))))</f>
        <v/>
      </c>
    </row>
    <row r="137" ht="15" customHeight="1" s="37">
      <c r="A137" s="67">
        <f>IF($C137="","",ROW()-8)</f>
        <v/>
      </c>
      <c r="B137" s="75" t="n"/>
      <c r="C137" s="75" t="n"/>
      <c r="D137" s="76" t="n"/>
      <c r="E137" s="76" t="n"/>
      <c r="F137" s="77" t="n"/>
      <c r="G137" s="77" t="n"/>
      <c r="H137" s="77" t="n"/>
      <c r="I137" s="77" t="n"/>
      <c r="J137" s="67">
        <f>IF(OR($C137="",NOT(ISNUMBER($D137)),NOT(ISNUMBER($E137))),"",DATEDIF($D137,$E137,"m"))</f>
        <v/>
      </c>
      <c r="K137" s="67">
        <f>IF(OR($C137="",NOT(ISNUMBER($D137)),NOT(ISNUMBER($E137))),"",IF($E137&gt;EDATE($D137,INDEX(AM_LTm,MATCH($C137,AM_Type,0))),"LTCG","STCG"))</f>
        <v/>
      </c>
      <c r="L137" s="71">
        <f>IF($C137="","",$G137-$H137)</f>
        <v/>
      </c>
      <c r="M137" s="71">
        <f>IF(OR($C137="",NOT(ISNUMBER($D137)),NOT(ISNUMBER($E137))),"",IF(AND(INDEX(AM_Index,MATCH($C137,AM_Type,0))=1,$K137="LTCG",$D137&lt;DATE(2024,7,23),Resident="Yes"),$F137*INDEX(CII_Val,MATCH(IF(MONTH($E137)&gt;=4,YEAR($E137),YEAR($E137)-1),CII_Year,0))/INDEX(CII_Val,MATCH(MAX(2001,IF(MONTH($D137)&gt;=4,YEAR($D137),YEAR($D137)-1)),CII_Year,0)),""))</f>
        <v/>
      </c>
      <c r="N137" s="71">
        <f>IF($C137="","",IF(AND(INDEX(AM_Grand,MATCH($C137,AM_Type,0))=1,$K137="LTCG",ISNUMBER($D137),$D137&lt;DATE(2018,2,1),$I137&lt;&gt;""),MAX($F137,MIN($I137,$G137)),$F137))</f>
        <v/>
      </c>
      <c r="O137" s="71">
        <f>IF($C137="","",$L137-$N137)</f>
        <v/>
      </c>
      <c r="P137" s="67">
        <f>IF($C137="","",IF(INDEX(AM_Cat,MATCH($C137,AM_Type,0))="SLABONLY","SLAB",IF($K137="","",IF($K137="STCG",IF(INDEX(AM_Cat,MATCH($C137,AM_Type,0))="EQ","EQ-ST","SLAB"),IF(INDEX(AM_Cat,MATCH($C137,AM_Type,0))="EQ","EQ-LT",IF(INDEX(AM_Cat,MATCH($C137,AM_Type,0))="PROP","PROP-LT","FLAT-LT"))))))</f>
        <v/>
      </c>
      <c r="Q137" s="71">
        <f>IF($C137="","",IF($P137="","",IF($P137="EQ-LT","pooled",IF($P137="EQ-ST",MAX(0,0.2*$O137),IF($P137="PROP-LT",IF($M137="",MAX(0,0.125*$O137),MAX(0,MIN(0.125*$O137,0.2*($L137-$M137)))),IF($P137="FLAT-LT",MAX(0,0.125*$O137),IF($P137="SLAB",MAX(0,Slab_Rate*$O137),"")))))))</f>
        <v/>
      </c>
    </row>
    <row r="138" ht="15" customHeight="1" s="37">
      <c r="A138" s="72">
        <f>IF($C138="","",ROW()-8)</f>
        <v/>
      </c>
      <c r="B138" s="75" t="n"/>
      <c r="C138" s="75" t="n"/>
      <c r="D138" s="76" t="n"/>
      <c r="E138" s="76" t="n"/>
      <c r="F138" s="77" t="n"/>
      <c r="G138" s="77" t="n"/>
      <c r="H138" s="77" t="n"/>
      <c r="I138" s="77" t="n"/>
      <c r="J138" s="72">
        <f>IF(OR($C138="",NOT(ISNUMBER($D138)),NOT(ISNUMBER($E138))),"",DATEDIF($D138,$E138,"m"))</f>
        <v/>
      </c>
      <c r="K138" s="72">
        <f>IF(OR($C138="",NOT(ISNUMBER($D138)),NOT(ISNUMBER($E138))),"",IF($E138&gt;EDATE($D138,INDEX(AM_LTm,MATCH($C138,AM_Type,0))),"LTCG","STCG"))</f>
        <v/>
      </c>
      <c r="L138" s="74">
        <f>IF($C138="","",$G138-$H138)</f>
        <v/>
      </c>
      <c r="M138" s="74">
        <f>IF(OR($C138="",NOT(ISNUMBER($D138)),NOT(ISNUMBER($E138))),"",IF(AND(INDEX(AM_Index,MATCH($C138,AM_Type,0))=1,$K138="LTCG",$D138&lt;DATE(2024,7,23),Resident="Yes"),$F138*INDEX(CII_Val,MATCH(IF(MONTH($E138)&gt;=4,YEAR($E138),YEAR($E138)-1),CII_Year,0))/INDEX(CII_Val,MATCH(MAX(2001,IF(MONTH($D138)&gt;=4,YEAR($D138),YEAR($D138)-1)),CII_Year,0)),""))</f>
        <v/>
      </c>
      <c r="N138" s="74">
        <f>IF($C138="","",IF(AND(INDEX(AM_Grand,MATCH($C138,AM_Type,0))=1,$K138="LTCG",ISNUMBER($D138),$D138&lt;DATE(2018,2,1),$I138&lt;&gt;""),MAX($F138,MIN($I138,$G138)),$F138))</f>
        <v/>
      </c>
      <c r="O138" s="74">
        <f>IF($C138="","",$L138-$N138)</f>
        <v/>
      </c>
      <c r="P138" s="72">
        <f>IF($C138="","",IF(INDEX(AM_Cat,MATCH($C138,AM_Type,0))="SLABONLY","SLAB",IF($K138="","",IF($K138="STCG",IF(INDEX(AM_Cat,MATCH($C138,AM_Type,0))="EQ","EQ-ST","SLAB"),IF(INDEX(AM_Cat,MATCH($C138,AM_Type,0))="EQ","EQ-LT",IF(INDEX(AM_Cat,MATCH($C138,AM_Type,0))="PROP","PROP-LT","FLAT-LT"))))))</f>
        <v/>
      </c>
      <c r="Q138" s="74">
        <f>IF($C138="","",IF($P138="","",IF($P138="EQ-LT","pooled",IF($P138="EQ-ST",MAX(0,0.2*$O138),IF($P138="PROP-LT",IF($M138="",MAX(0,0.125*$O138),MAX(0,MIN(0.125*$O138,0.2*($L138-$M138)))),IF($P138="FLAT-LT",MAX(0,0.125*$O138),IF($P138="SLAB",MAX(0,Slab_Rate*$O138),"")))))))</f>
        <v/>
      </c>
    </row>
    <row r="139" ht="15" customHeight="1" s="37">
      <c r="A139" s="67">
        <f>IF($C139="","",ROW()-8)</f>
        <v/>
      </c>
      <c r="B139" s="75" t="n"/>
      <c r="C139" s="75" t="n"/>
      <c r="D139" s="76" t="n"/>
      <c r="E139" s="76" t="n"/>
      <c r="F139" s="77" t="n"/>
      <c r="G139" s="77" t="n"/>
      <c r="H139" s="77" t="n"/>
      <c r="I139" s="77" t="n"/>
      <c r="J139" s="67">
        <f>IF(OR($C139="",NOT(ISNUMBER($D139)),NOT(ISNUMBER($E139))),"",DATEDIF($D139,$E139,"m"))</f>
        <v/>
      </c>
      <c r="K139" s="67">
        <f>IF(OR($C139="",NOT(ISNUMBER($D139)),NOT(ISNUMBER($E139))),"",IF($E139&gt;EDATE($D139,INDEX(AM_LTm,MATCH($C139,AM_Type,0))),"LTCG","STCG"))</f>
        <v/>
      </c>
      <c r="L139" s="71">
        <f>IF($C139="","",$G139-$H139)</f>
        <v/>
      </c>
      <c r="M139" s="71">
        <f>IF(OR($C139="",NOT(ISNUMBER($D139)),NOT(ISNUMBER($E139))),"",IF(AND(INDEX(AM_Index,MATCH($C139,AM_Type,0))=1,$K139="LTCG",$D139&lt;DATE(2024,7,23),Resident="Yes"),$F139*INDEX(CII_Val,MATCH(IF(MONTH($E139)&gt;=4,YEAR($E139),YEAR($E139)-1),CII_Year,0))/INDEX(CII_Val,MATCH(MAX(2001,IF(MONTH($D139)&gt;=4,YEAR($D139),YEAR($D139)-1)),CII_Year,0)),""))</f>
        <v/>
      </c>
      <c r="N139" s="71">
        <f>IF($C139="","",IF(AND(INDEX(AM_Grand,MATCH($C139,AM_Type,0))=1,$K139="LTCG",ISNUMBER($D139),$D139&lt;DATE(2018,2,1),$I139&lt;&gt;""),MAX($F139,MIN($I139,$G139)),$F139))</f>
        <v/>
      </c>
      <c r="O139" s="71">
        <f>IF($C139="","",$L139-$N139)</f>
        <v/>
      </c>
      <c r="P139" s="67">
        <f>IF($C139="","",IF(INDEX(AM_Cat,MATCH($C139,AM_Type,0))="SLABONLY","SLAB",IF($K139="","",IF($K139="STCG",IF(INDEX(AM_Cat,MATCH($C139,AM_Type,0))="EQ","EQ-ST","SLAB"),IF(INDEX(AM_Cat,MATCH($C139,AM_Type,0))="EQ","EQ-LT",IF(INDEX(AM_Cat,MATCH($C139,AM_Type,0))="PROP","PROP-LT","FLAT-LT"))))))</f>
        <v/>
      </c>
      <c r="Q139" s="71">
        <f>IF($C139="","",IF($P139="","",IF($P139="EQ-LT","pooled",IF($P139="EQ-ST",MAX(0,0.2*$O139),IF($P139="PROP-LT",IF($M139="",MAX(0,0.125*$O139),MAX(0,MIN(0.125*$O139,0.2*($L139-$M139)))),IF($P139="FLAT-LT",MAX(0,0.125*$O139),IF($P139="SLAB",MAX(0,Slab_Rate*$O139),"")))))))</f>
        <v/>
      </c>
    </row>
    <row r="140" ht="15" customHeight="1" s="37">
      <c r="A140" s="72">
        <f>IF($C140="","",ROW()-8)</f>
        <v/>
      </c>
      <c r="B140" s="75" t="n"/>
      <c r="C140" s="75" t="n"/>
      <c r="D140" s="76" t="n"/>
      <c r="E140" s="76" t="n"/>
      <c r="F140" s="77" t="n"/>
      <c r="G140" s="77" t="n"/>
      <c r="H140" s="77" t="n"/>
      <c r="I140" s="77" t="n"/>
      <c r="J140" s="72">
        <f>IF(OR($C140="",NOT(ISNUMBER($D140)),NOT(ISNUMBER($E140))),"",DATEDIF($D140,$E140,"m"))</f>
        <v/>
      </c>
      <c r="K140" s="72">
        <f>IF(OR($C140="",NOT(ISNUMBER($D140)),NOT(ISNUMBER($E140))),"",IF($E140&gt;EDATE($D140,INDEX(AM_LTm,MATCH($C140,AM_Type,0))),"LTCG","STCG"))</f>
        <v/>
      </c>
      <c r="L140" s="74">
        <f>IF($C140="","",$G140-$H140)</f>
        <v/>
      </c>
      <c r="M140" s="74">
        <f>IF(OR($C140="",NOT(ISNUMBER($D140)),NOT(ISNUMBER($E140))),"",IF(AND(INDEX(AM_Index,MATCH($C140,AM_Type,0))=1,$K140="LTCG",$D140&lt;DATE(2024,7,23),Resident="Yes"),$F140*INDEX(CII_Val,MATCH(IF(MONTH($E140)&gt;=4,YEAR($E140),YEAR($E140)-1),CII_Year,0))/INDEX(CII_Val,MATCH(MAX(2001,IF(MONTH($D140)&gt;=4,YEAR($D140),YEAR($D140)-1)),CII_Year,0)),""))</f>
        <v/>
      </c>
      <c r="N140" s="74">
        <f>IF($C140="","",IF(AND(INDEX(AM_Grand,MATCH($C140,AM_Type,0))=1,$K140="LTCG",ISNUMBER($D140),$D140&lt;DATE(2018,2,1),$I140&lt;&gt;""),MAX($F140,MIN($I140,$G140)),$F140))</f>
        <v/>
      </c>
      <c r="O140" s="74">
        <f>IF($C140="","",$L140-$N140)</f>
        <v/>
      </c>
      <c r="P140" s="72">
        <f>IF($C140="","",IF(INDEX(AM_Cat,MATCH($C140,AM_Type,0))="SLABONLY","SLAB",IF($K140="","",IF($K140="STCG",IF(INDEX(AM_Cat,MATCH($C140,AM_Type,0))="EQ","EQ-ST","SLAB"),IF(INDEX(AM_Cat,MATCH($C140,AM_Type,0))="EQ","EQ-LT",IF(INDEX(AM_Cat,MATCH($C140,AM_Type,0))="PROP","PROP-LT","FLAT-LT"))))))</f>
        <v/>
      </c>
      <c r="Q140" s="74">
        <f>IF($C140="","",IF($P140="","",IF($P140="EQ-LT","pooled",IF($P140="EQ-ST",MAX(0,0.2*$O140),IF($P140="PROP-LT",IF($M140="",MAX(0,0.125*$O140),MAX(0,MIN(0.125*$O140,0.2*($L140-$M140)))),IF($P140="FLAT-LT",MAX(0,0.125*$O140),IF($P140="SLAB",MAX(0,Slab_Rate*$O140),"")))))))</f>
        <v/>
      </c>
    </row>
    <row r="141" ht="15" customHeight="1" s="37">
      <c r="A141" s="67">
        <f>IF($C141="","",ROW()-8)</f>
        <v/>
      </c>
      <c r="B141" s="75" t="n"/>
      <c r="C141" s="75" t="n"/>
      <c r="D141" s="76" t="n"/>
      <c r="E141" s="76" t="n"/>
      <c r="F141" s="77" t="n"/>
      <c r="G141" s="77" t="n"/>
      <c r="H141" s="77" t="n"/>
      <c r="I141" s="77" t="n"/>
      <c r="J141" s="67">
        <f>IF(OR($C141="",NOT(ISNUMBER($D141)),NOT(ISNUMBER($E141))),"",DATEDIF($D141,$E141,"m"))</f>
        <v/>
      </c>
      <c r="K141" s="67">
        <f>IF(OR($C141="",NOT(ISNUMBER($D141)),NOT(ISNUMBER($E141))),"",IF($E141&gt;EDATE($D141,INDEX(AM_LTm,MATCH($C141,AM_Type,0))),"LTCG","STCG"))</f>
        <v/>
      </c>
      <c r="L141" s="71">
        <f>IF($C141="","",$G141-$H141)</f>
        <v/>
      </c>
      <c r="M141" s="71">
        <f>IF(OR($C141="",NOT(ISNUMBER($D141)),NOT(ISNUMBER($E141))),"",IF(AND(INDEX(AM_Index,MATCH($C141,AM_Type,0))=1,$K141="LTCG",$D141&lt;DATE(2024,7,23),Resident="Yes"),$F141*INDEX(CII_Val,MATCH(IF(MONTH($E141)&gt;=4,YEAR($E141),YEAR($E141)-1),CII_Year,0))/INDEX(CII_Val,MATCH(MAX(2001,IF(MONTH($D141)&gt;=4,YEAR($D141),YEAR($D141)-1)),CII_Year,0)),""))</f>
        <v/>
      </c>
      <c r="N141" s="71">
        <f>IF($C141="","",IF(AND(INDEX(AM_Grand,MATCH($C141,AM_Type,0))=1,$K141="LTCG",ISNUMBER($D141),$D141&lt;DATE(2018,2,1),$I141&lt;&gt;""),MAX($F141,MIN($I141,$G141)),$F141))</f>
        <v/>
      </c>
      <c r="O141" s="71">
        <f>IF($C141="","",$L141-$N141)</f>
        <v/>
      </c>
      <c r="P141" s="67">
        <f>IF($C141="","",IF(INDEX(AM_Cat,MATCH($C141,AM_Type,0))="SLABONLY","SLAB",IF($K141="","",IF($K141="STCG",IF(INDEX(AM_Cat,MATCH($C141,AM_Type,0))="EQ","EQ-ST","SLAB"),IF(INDEX(AM_Cat,MATCH($C141,AM_Type,0))="EQ","EQ-LT",IF(INDEX(AM_Cat,MATCH($C141,AM_Type,0))="PROP","PROP-LT","FLAT-LT"))))))</f>
        <v/>
      </c>
      <c r="Q141" s="71">
        <f>IF($C141="","",IF($P141="","",IF($P141="EQ-LT","pooled",IF($P141="EQ-ST",MAX(0,0.2*$O141),IF($P141="PROP-LT",IF($M141="",MAX(0,0.125*$O141),MAX(0,MIN(0.125*$O141,0.2*($L141-$M141)))),IF($P141="FLAT-LT",MAX(0,0.125*$O141),IF($P141="SLAB",MAX(0,Slab_Rate*$O141),"")))))))</f>
        <v/>
      </c>
    </row>
    <row r="142" ht="15" customHeight="1" s="37">
      <c r="A142" s="72">
        <f>IF($C142="","",ROW()-8)</f>
        <v/>
      </c>
      <c r="B142" s="75" t="n"/>
      <c r="C142" s="75" t="n"/>
      <c r="D142" s="76" t="n"/>
      <c r="E142" s="76" t="n"/>
      <c r="F142" s="77" t="n"/>
      <c r="G142" s="77" t="n"/>
      <c r="H142" s="77" t="n"/>
      <c r="I142" s="77" t="n"/>
      <c r="J142" s="72">
        <f>IF(OR($C142="",NOT(ISNUMBER($D142)),NOT(ISNUMBER($E142))),"",DATEDIF($D142,$E142,"m"))</f>
        <v/>
      </c>
      <c r="K142" s="72">
        <f>IF(OR($C142="",NOT(ISNUMBER($D142)),NOT(ISNUMBER($E142))),"",IF($E142&gt;EDATE($D142,INDEX(AM_LTm,MATCH($C142,AM_Type,0))),"LTCG","STCG"))</f>
        <v/>
      </c>
      <c r="L142" s="74">
        <f>IF($C142="","",$G142-$H142)</f>
        <v/>
      </c>
      <c r="M142" s="74">
        <f>IF(OR($C142="",NOT(ISNUMBER($D142)),NOT(ISNUMBER($E142))),"",IF(AND(INDEX(AM_Index,MATCH($C142,AM_Type,0))=1,$K142="LTCG",$D142&lt;DATE(2024,7,23),Resident="Yes"),$F142*INDEX(CII_Val,MATCH(IF(MONTH($E142)&gt;=4,YEAR($E142),YEAR($E142)-1),CII_Year,0))/INDEX(CII_Val,MATCH(MAX(2001,IF(MONTH($D142)&gt;=4,YEAR($D142),YEAR($D142)-1)),CII_Year,0)),""))</f>
        <v/>
      </c>
      <c r="N142" s="74">
        <f>IF($C142="","",IF(AND(INDEX(AM_Grand,MATCH($C142,AM_Type,0))=1,$K142="LTCG",ISNUMBER($D142),$D142&lt;DATE(2018,2,1),$I142&lt;&gt;""),MAX($F142,MIN($I142,$G142)),$F142))</f>
        <v/>
      </c>
      <c r="O142" s="74">
        <f>IF($C142="","",$L142-$N142)</f>
        <v/>
      </c>
      <c r="P142" s="72">
        <f>IF($C142="","",IF(INDEX(AM_Cat,MATCH($C142,AM_Type,0))="SLABONLY","SLAB",IF($K142="","",IF($K142="STCG",IF(INDEX(AM_Cat,MATCH($C142,AM_Type,0))="EQ","EQ-ST","SLAB"),IF(INDEX(AM_Cat,MATCH($C142,AM_Type,0))="EQ","EQ-LT",IF(INDEX(AM_Cat,MATCH($C142,AM_Type,0))="PROP","PROP-LT","FLAT-LT"))))))</f>
        <v/>
      </c>
      <c r="Q142" s="74">
        <f>IF($C142="","",IF($P142="","",IF($P142="EQ-LT","pooled",IF($P142="EQ-ST",MAX(0,0.2*$O142),IF($P142="PROP-LT",IF($M142="",MAX(0,0.125*$O142),MAX(0,MIN(0.125*$O142,0.2*($L142-$M142)))),IF($P142="FLAT-LT",MAX(0,0.125*$O142),IF($P142="SLAB",MAX(0,Slab_Rate*$O142),"")))))))</f>
        <v/>
      </c>
    </row>
    <row r="143" ht="15" customHeight="1" s="37">
      <c r="A143" s="67">
        <f>IF($C143="","",ROW()-8)</f>
        <v/>
      </c>
      <c r="B143" s="75" t="n"/>
      <c r="C143" s="75" t="n"/>
      <c r="D143" s="76" t="n"/>
      <c r="E143" s="76" t="n"/>
      <c r="F143" s="77" t="n"/>
      <c r="G143" s="77" t="n"/>
      <c r="H143" s="77" t="n"/>
      <c r="I143" s="77" t="n"/>
      <c r="J143" s="67">
        <f>IF(OR($C143="",NOT(ISNUMBER($D143)),NOT(ISNUMBER($E143))),"",DATEDIF($D143,$E143,"m"))</f>
        <v/>
      </c>
      <c r="K143" s="67">
        <f>IF(OR($C143="",NOT(ISNUMBER($D143)),NOT(ISNUMBER($E143))),"",IF($E143&gt;EDATE($D143,INDEX(AM_LTm,MATCH($C143,AM_Type,0))),"LTCG","STCG"))</f>
        <v/>
      </c>
      <c r="L143" s="71">
        <f>IF($C143="","",$G143-$H143)</f>
        <v/>
      </c>
      <c r="M143" s="71">
        <f>IF(OR($C143="",NOT(ISNUMBER($D143)),NOT(ISNUMBER($E143))),"",IF(AND(INDEX(AM_Index,MATCH($C143,AM_Type,0))=1,$K143="LTCG",$D143&lt;DATE(2024,7,23),Resident="Yes"),$F143*INDEX(CII_Val,MATCH(IF(MONTH($E143)&gt;=4,YEAR($E143),YEAR($E143)-1),CII_Year,0))/INDEX(CII_Val,MATCH(MAX(2001,IF(MONTH($D143)&gt;=4,YEAR($D143),YEAR($D143)-1)),CII_Year,0)),""))</f>
        <v/>
      </c>
      <c r="N143" s="71">
        <f>IF($C143="","",IF(AND(INDEX(AM_Grand,MATCH($C143,AM_Type,0))=1,$K143="LTCG",ISNUMBER($D143),$D143&lt;DATE(2018,2,1),$I143&lt;&gt;""),MAX($F143,MIN($I143,$G143)),$F143))</f>
        <v/>
      </c>
      <c r="O143" s="71">
        <f>IF($C143="","",$L143-$N143)</f>
        <v/>
      </c>
      <c r="P143" s="67">
        <f>IF($C143="","",IF(INDEX(AM_Cat,MATCH($C143,AM_Type,0))="SLABONLY","SLAB",IF($K143="","",IF($K143="STCG",IF(INDEX(AM_Cat,MATCH($C143,AM_Type,0))="EQ","EQ-ST","SLAB"),IF(INDEX(AM_Cat,MATCH($C143,AM_Type,0))="EQ","EQ-LT",IF(INDEX(AM_Cat,MATCH($C143,AM_Type,0))="PROP","PROP-LT","FLAT-LT"))))))</f>
        <v/>
      </c>
      <c r="Q143" s="71">
        <f>IF($C143="","",IF($P143="","",IF($P143="EQ-LT","pooled",IF($P143="EQ-ST",MAX(0,0.2*$O143),IF($P143="PROP-LT",IF($M143="",MAX(0,0.125*$O143),MAX(0,MIN(0.125*$O143,0.2*($L143-$M143)))),IF($P143="FLAT-LT",MAX(0,0.125*$O143),IF($P143="SLAB",MAX(0,Slab_Rate*$O143),"")))))))</f>
        <v/>
      </c>
    </row>
    <row r="144" ht="15" customHeight="1" s="37">
      <c r="A144" s="72">
        <f>IF($C144="","",ROW()-8)</f>
        <v/>
      </c>
      <c r="B144" s="75" t="n"/>
      <c r="C144" s="75" t="n"/>
      <c r="D144" s="76" t="n"/>
      <c r="E144" s="76" t="n"/>
      <c r="F144" s="77" t="n"/>
      <c r="G144" s="77" t="n"/>
      <c r="H144" s="77" t="n"/>
      <c r="I144" s="77" t="n"/>
      <c r="J144" s="72">
        <f>IF(OR($C144="",NOT(ISNUMBER($D144)),NOT(ISNUMBER($E144))),"",DATEDIF($D144,$E144,"m"))</f>
        <v/>
      </c>
      <c r="K144" s="72">
        <f>IF(OR($C144="",NOT(ISNUMBER($D144)),NOT(ISNUMBER($E144))),"",IF($E144&gt;EDATE($D144,INDEX(AM_LTm,MATCH($C144,AM_Type,0))),"LTCG","STCG"))</f>
        <v/>
      </c>
      <c r="L144" s="74">
        <f>IF($C144="","",$G144-$H144)</f>
        <v/>
      </c>
      <c r="M144" s="74">
        <f>IF(OR($C144="",NOT(ISNUMBER($D144)),NOT(ISNUMBER($E144))),"",IF(AND(INDEX(AM_Index,MATCH($C144,AM_Type,0))=1,$K144="LTCG",$D144&lt;DATE(2024,7,23),Resident="Yes"),$F144*INDEX(CII_Val,MATCH(IF(MONTH($E144)&gt;=4,YEAR($E144),YEAR($E144)-1),CII_Year,0))/INDEX(CII_Val,MATCH(MAX(2001,IF(MONTH($D144)&gt;=4,YEAR($D144),YEAR($D144)-1)),CII_Year,0)),""))</f>
        <v/>
      </c>
      <c r="N144" s="74">
        <f>IF($C144="","",IF(AND(INDEX(AM_Grand,MATCH($C144,AM_Type,0))=1,$K144="LTCG",ISNUMBER($D144),$D144&lt;DATE(2018,2,1),$I144&lt;&gt;""),MAX($F144,MIN($I144,$G144)),$F144))</f>
        <v/>
      </c>
      <c r="O144" s="74">
        <f>IF($C144="","",$L144-$N144)</f>
        <v/>
      </c>
      <c r="P144" s="72">
        <f>IF($C144="","",IF(INDEX(AM_Cat,MATCH($C144,AM_Type,0))="SLABONLY","SLAB",IF($K144="","",IF($K144="STCG",IF(INDEX(AM_Cat,MATCH($C144,AM_Type,0))="EQ","EQ-ST","SLAB"),IF(INDEX(AM_Cat,MATCH($C144,AM_Type,0))="EQ","EQ-LT",IF(INDEX(AM_Cat,MATCH($C144,AM_Type,0))="PROP","PROP-LT","FLAT-LT"))))))</f>
        <v/>
      </c>
      <c r="Q144" s="74">
        <f>IF($C144="","",IF($P144="","",IF($P144="EQ-LT","pooled",IF($P144="EQ-ST",MAX(0,0.2*$O144),IF($P144="PROP-LT",IF($M144="",MAX(0,0.125*$O144),MAX(0,MIN(0.125*$O144,0.2*($L144-$M144)))),IF($P144="FLAT-LT",MAX(0,0.125*$O144),IF($P144="SLAB",MAX(0,Slab_Rate*$O144),"")))))))</f>
        <v/>
      </c>
    </row>
    <row r="145" ht="15" customHeight="1" s="37">
      <c r="A145" s="67">
        <f>IF($C145="","",ROW()-8)</f>
        <v/>
      </c>
      <c r="B145" s="75" t="n"/>
      <c r="C145" s="75" t="n"/>
      <c r="D145" s="76" t="n"/>
      <c r="E145" s="76" t="n"/>
      <c r="F145" s="77" t="n"/>
      <c r="G145" s="77" t="n"/>
      <c r="H145" s="77" t="n"/>
      <c r="I145" s="77" t="n"/>
      <c r="J145" s="67">
        <f>IF(OR($C145="",NOT(ISNUMBER($D145)),NOT(ISNUMBER($E145))),"",DATEDIF($D145,$E145,"m"))</f>
        <v/>
      </c>
      <c r="K145" s="67">
        <f>IF(OR($C145="",NOT(ISNUMBER($D145)),NOT(ISNUMBER($E145))),"",IF($E145&gt;EDATE($D145,INDEX(AM_LTm,MATCH($C145,AM_Type,0))),"LTCG","STCG"))</f>
        <v/>
      </c>
      <c r="L145" s="71">
        <f>IF($C145="","",$G145-$H145)</f>
        <v/>
      </c>
      <c r="M145" s="71">
        <f>IF(OR($C145="",NOT(ISNUMBER($D145)),NOT(ISNUMBER($E145))),"",IF(AND(INDEX(AM_Index,MATCH($C145,AM_Type,0))=1,$K145="LTCG",$D145&lt;DATE(2024,7,23),Resident="Yes"),$F145*INDEX(CII_Val,MATCH(IF(MONTH($E145)&gt;=4,YEAR($E145),YEAR($E145)-1),CII_Year,0))/INDEX(CII_Val,MATCH(MAX(2001,IF(MONTH($D145)&gt;=4,YEAR($D145),YEAR($D145)-1)),CII_Year,0)),""))</f>
        <v/>
      </c>
      <c r="N145" s="71">
        <f>IF($C145="","",IF(AND(INDEX(AM_Grand,MATCH($C145,AM_Type,0))=1,$K145="LTCG",ISNUMBER($D145),$D145&lt;DATE(2018,2,1),$I145&lt;&gt;""),MAX($F145,MIN($I145,$G145)),$F145))</f>
        <v/>
      </c>
      <c r="O145" s="71">
        <f>IF($C145="","",$L145-$N145)</f>
        <v/>
      </c>
      <c r="P145" s="67">
        <f>IF($C145="","",IF(INDEX(AM_Cat,MATCH($C145,AM_Type,0))="SLABONLY","SLAB",IF($K145="","",IF($K145="STCG",IF(INDEX(AM_Cat,MATCH($C145,AM_Type,0))="EQ","EQ-ST","SLAB"),IF(INDEX(AM_Cat,MATCH($C145,AM_Type,0))="EQ","EQ-LT",IF(INDEX(AM_Cat,MATCH($C145,AM_Type,0))="PROP","PROP-LT","FLAT-LT"))))))</f>
        <v/>
      </c>
      <c r="Q145" s="71">
        <f>IF($C145="","",IF($P145="","",IF($P145="EQ-LT","pooled",IF($P145="EQ-ST",MAX(0,0.2*$O145),IF($P145="PROP-LT",IF($M145="",MAX(0,0.125*$O145),MAX(0,MIN(0.125*$O145,0.2*($L145-$M145)))),IF($P145="FLAT-LT",MAX(0,0.125*$O145),IF($P145="SLAB",MAX(0,Slab_Rate*$O145),"")))))))</f>
        <v/>
      </c>
    </row>
    <row r="146" ht="15" customHeight="1" s="37">
      <c r="A146" s="72">
        <f>IF($C146="","",ROW()-8)</f>
        <v/>
      </c>
      <c r="B146" s="75" t="n"/>
      <c r="C146" s="75" t="n"/>
      <c r="D146" s="76" t="n"/>
      <c r="E146" s="76" t="n"/>
      <c r="F146" s="77" t="n"/>
      <c r="G146" s="77" t="n"/>
      <c r="H146" s="77" t="n"/>
      <c r="I146" s="77" t="n"/>
      <c r="J146" s="72">
        <f>IF(OR($C146="",NOT(ISNUMBER($D146)),NOT(ISNUMBER($E146))),"",DATEDIF($D146,$E146,"m"))</f>
        <v/>
      </c>
      <c r="K146" s="72">
        <f>IF(OR($C146="",NOT(ISNUMBER($D146)),NOT(ISNUMBER($E146))),"",IF($E146&gt;EDATE($D146,INDEX(AM_LTm,MATCH($C146,AM_Type,0))),"LTCG","STCG"))</f>
        <v/>
      </c>
      <c r="L146" s="74">
        <f>IF($C146="","",$G146-$H146)</f>
        <v/>
      </c>
      <c r="M146" s="74">
        <f>IF(OR($C146="",NOT(ISNUMBER($D146)),NOT(ISNUMBER($E146))),"",IF(AND(INDEX(AM_Index,MATCH($C146,AM_Type,0))=1,$K146="LTCG",$D146&lt;DATE(2024,7,23),Resident="Yes"),$F146*INDEX(CII_Val,MATCH(IF(MONTH($E146)&gt;=4,YEAR($E146),YEAR($E146)-1),CII_Year,0))/INDEX(CII_Val,MATCH(MAX(2001,IF(MONTH($D146)&gt;=4,YEAR($D146),YEAR($D146)-1)),CII_Year,0)),""))</f>
        <v/>
      </c>
      <c r="N146" s="74">
        <f>IF($C146="","",IF(AND(INDEX(AM_Grand,MATCH($C146,AM_Type,0))=1,$K146="LTCG",ISNUMBER($D146),$D146&lt;DATE(2018,2,1),$I146&lt;&gt;""),MAX($F146,MIN($I146,$G146)),$F146))</f>
        <v/>
      </c>
      <c r="O146" s="74">
        <f>IF($C146="","",$L146-$N146)</f>
        <v/>
      </c>
      <c r="P146" s="72">
        <f>IF($C146="","",IF(INDEX(AM_Cat,MATCH($C146,AM_Type,0))="SLABONLY","SLAB",IF($K146="","",IF($K146="STCG",IF(INDEX(AM_Cat,MATCH($C146,AM_Type,0))="EQ","EQ-ST","SLAB"),IF(INDEX(AM_Cat,MATCH($C146,AM_Type,0))="EQ","EQ-LT",IF(INDEX(AM_Cat,MATCH($C146,AM_Type,0))="PROP","PROP-LT","FLAT-LT"))))))</f>
        <v/>
      </c>
      <c r="Q146" s="74">
        <f>IF($C146="","",IF($P146="","",IF($P146="EQ-LT","pooled",IF($P146="EQ-ST",MAX(0,0.2*$O146),IF($P146="PROP-LT",IF($M146="",MAX(0,0.125*$O146),MAX(0,MIN(0.125*$O146,0.2*($L146-$M146)))),IF($P146="FLAT-LT",MAX(0,0.125*$O146),IF($P146="SLAB",MAX(0,Slab_Rate*$O146),"")))))))</f>
        <v/>
      </c>
    </row>
    <row r="147" ht="15" customHeight="1" s="37">
      <c r="A147" s="67">
        <f>IF($C147="","",ROW()-8)</f>
        <v/>
      </c>
      <c r="B147" s="75" t="n"/>
      <c r="C147" s="75" t="n"/>
      <c r="D147" s="76" t="n"/>
      <c r="E147" s="76" t="n"/>
      <c r="F147" s="77" t="n"/>
      <c r="G147" s="77" t="n"/>
      <c r="H147" s="77" t="n"/>
      <c r="I147" s="77" t="n"/>
      <c r="J147" s="67">
        <f>IF(OR($C147="",NOT(ISNUMBER($D147)),NOT(ISNUMBER($E147))),"",DATEDIF($D147,$E147,"m"))</f>
        <v/>
      </c>
      <c r="K147" s="67">
        <f>IF(OR($C147="",NOT(ISNUMBER($D147)),NOT(ISNUMBER($E147))),"",IF($E147&gt;EDATE($D147,INDEX(AM_LTm,MATCH($C147,AM_Type,0))),"LTCG","STCG"))</f>
        <v/>
      </c>
      <c r="L147" s="71">
        <f>IF($C147="","",$G147-$H147)</f>
        <v/>
      </c>
      <c r="M147" s="71">
        <f>IF(OR($C147="",NOT(ISNUMBER($D147)),NOT(ISNUMBER($E147))),"",IF(AND(INDEX(AM_Index,MATCH($C147,AM_Type,0))=1,$K147="LTCG",$D147&lt;DATE(2024,7,23),Resident="Yes"),$F147*INDEX(CII_Val,MATCH(IF(MONTH($E147)&gt;=4,YEAR($E147),YEAR($E147)-1),CII_Year,0))/INDEX(CII_Val,MATCH(MAX(2001,IF(MONTH($D147)&gt;=4,YEAR($D147),YEAR($D147)-1)),CII_Year,0)),""))</f>
        <v/>
      </c>
      <c r="N147" s="71">
        <f>IF($C147="","",IF(AND(INDEX(AM_Grand,MATCH($C147,AM_Type,0))=1,$K147="LTCG",ISNUMBER($D147),$D147&lt;DATE(2018,2,1),$I147&lt;&gt;""),MAX($F147,MIN($I147,$G147)),$F147))</f>
        <v/>
      </c>
      <c r="O147" s="71">
        <f>IF($C147="","",$L147-$N147)</f>
        <v/>
      </c>
      <c r="P147" s="67">
        <f>IF($C147="","",IF(INDEX(AM_Cat,MATCH($C147,AM_Type,0))="SLABONLY","SLAB",IF($K147="","",IF($K147="STCG",IF(INDEX(AM_Cat,MATCH($C147,AM_Type,0))="EQ","EQ-ST","SLAB"),IF(INDEX(AM_Cat,MATCH($C147,AM_Type,0))="EQ","EQ-LT",IF(INDEX(AM_Cat,MATCH($C147,AM_Type,0))="PROP","PROP-LT","FLAT-LT"))))))</f>
        <v/>
      </c>
      <c r="Q147" s="71">
        <f>IF($C147="","",IF($P147="","",IF($P147="EQ-LT","pooled",IF($P147="EQ-ST",MAX(0,0.2*$O147),IF($P147="PROP-LT",IF($M147="",MAX(0,0.125*$O147),MAX(0,MIN(0.125*$O147,0.2*($L147-$M147)))),IF($P147="FLAT-LT",MAX(0,0.125*$O147),IF($P147="SLAB",MAX(0,Slab_Rate*$O147),"")))))))</f>
        <v/>
      </c>
    </row>
    <row r="148" ht="15" customHeight="1" s="37">
      <c r="A148" s="72">
        <f>IF($C148="","",ROW()-8)</f>
        <v/>
      </c>
      <c r="B148" s="75" t="n"/>
      <c r="C148" s="75" t="n"/>
      <c r="D148" s="76" t="n"/>
      <c r="E148" s="76" t="n"/>
      <c r="F148" s="77" t="n"/>
      <c r="G148" s="77" t="n"/>
      <c r="H148" s="77" t="n"/>
      <c r="I148" s="77" t="n"/>
      <c r="J148" s="72">
        <f>IF(OR($C148="",NOT(ISNUMBER($D148)),NOT(ISNUMBER($E148))),"",DATEDIF($D148,$E148,"m"))</f>
        <v/>
      </c>
      <c r="K148" s="72">
        <f>IF(OR($C148="",NOT(ISNUMBER($D148)),NOT(ISNUMBER($E148))),"",IF($E148&gt;EDATE($D148,INDEX(AM_LTm,MATCH($C148,AM_Type,0))),"LTCG","STCG"))</f>
        <v/>
      </c>
      <c r="L148" s="74">
        <f>IF($C148="","",$G148-$H148)</f>
        <v/>
      </c>
      <c r="M148" s="74">
        <f>IF(OR($C148="",NOT(ISNUMBER($D148)),NOT(ISNUMBER($E148))),"",IF(AND(INDEX(AM_Index,MATCH($C148,AM_Type,0))=1,$K148="LTCG",$D148&lt;DATE(2024,7,23),Resident="Yes"),$F148*INDEX(CII_Val,MATCH(IF(MONTH($E148)&gt;=4,YEAR($E148),YEAR($E148)-1),CII_Year,0))/INDEX(CII_Val,MATCH(MAX(2001,IF(MONTH($D148)&gt;=4,YEAR($D148),YEAR($D148)-1)),CII_Year,0)),""))</f>
        <v/>
      </c>
      <c r="N148" s="74">
        <f>IF($C148="","",IF(AND(INDEX(AM_Grand,MATCH($C148,AM_Type,0))=1,$K148="LTCG",ISNUMBER($D148),$D148&lt;DATE(2018,2,1),$I148&lt;&gt;""),MAX($F148,MIN($I148,$G148)),$F148))</f>
        <v/>
      </c>
      <c r="O148" s="74">
        <f>IF($C148="","",$L148-$N148)</f>
        <v/>
      </c>
      <c r="P148" s="72">
        <f>IF($C148="","",IF(INDEX(AM_Cat,MATCH($C148,AM_Type,0))="SLABONLY","SLAB",IF($K148="","",IF($K148="STCG",IF(INDEX(AM_Cat,MATCH($C148,AM_Type,0))="EQ","EQ-ST","SLAB"),IF(INDEX(AM_Cat,MATCH($C148,AM_Type,0))="EQ","EQ-LT",IF(INDEX(AM_Cat,MATCH($C148,AM_Type,0))="PROP","PROP-LT","FLAT-LT"))))))</f>
        <v/>
      </c>
      <c r="Q148" s="74">
        <f>IF($C148="","",IF($P148="","",IF($P148="EQ-LT","pooled",IF($P148="EQ-ST",MAX(0,0.2*$O148),IF($P148="PROP-LT",IF($M148="",MAX(0,0.125*$O148),MAX(0,MIN(0.125*$O148,0.2*($L148-$M148)))),IF($P148="FLAT-LT",MAX(0,0.125*$O148),IF($P148="SLAB",MAX(0,Slab_Rate*$O148),"")))))))</f>
        <v/>
      </c>
    </row>
    <row r="149" ht="15" customHeight="1" s="37">
      <c r="A149" s="67">
        <f>IF($C149="","",ROW()-8)</f>
        <v/>
      </c>
      <c r="B149" s="75" t="n"/>
      <c r="C149" s="75" t="n"/>
      <c r="D149" s="76" t="n"/>
      <c r="E149" s="76" t="n"/>
      <c r="F149" s="77" t="n"/>
      <c r="G149" s="77" t="n"/>
      <c r="H149" s="77" t="n"/>
      <c r="I149" s="77" t="n"/>
      <c r="J149" s="67">
        <f>IF(OR($C149="",NOT(ISNUMBER($D149)),NOT(ISNUMBER($E149))),"",DATEDIF($D149,$E149,"m"))</f>
        <v/>
      </c>
      <c r="K149" s="67">
        <f>IF(OR($C149="",NOT(ISNUMBER($D149)),NOT(ISNUMBER($E149))),"",IF($E149&gt;EDATE($D149,INDEX(AM_LTm,MATCH($C149,AM_Type,0))),"LTCG","STCG"))</f>
        <v/>
      </c>
      <c r="L149" s="71">
        <f>IF($C149="","",$G149-$H149)</f>
        <v/>
      </c>
      <c r="M149" s="71">
        <f>IF(OR($C149="",NOT(ISNUMBER($D149)),NOT(ISNUMBER($E149))),"",IF(AND(INDEX(AM_Index,MATCH($C149,AM_Type,0))=1,$K149="LTCG",$D149&lt;DATE(2024,7,23),Resident="Yes"),$F149*INDEX(CII_Val,MATCH(IF(MONTH($E149)&gt;=4,YEAR($E149),YEAR($E149)-1),CII_Year,0))/INDEX(CII_Val,MATCH(MAX(2001,IF(MONTH($D149)&gt;=4,YEAR($D149),YEAR($D149)-1)),CII_Year,0)),""))</f>
        <v/>
      </c>
      <c r="N149" s="71">
        <f>IF($C149="","",IF(AND(INDEX(AM_Grand,MATCH($C149,AM_Type,0))=1,$K149="LTCG",ISNUMBER($D149),$D149&lt;DATE(2018,2,1),$I149&lt;&gt;""),MAX($F149,MIN($I149,$G149)),$F149))</f>
        <v/>
      </c>
      <c r="O149" s="71">
        <f>IF($C149="","",$L149-$N149)</f>
        <v/>
      </c>
      <c r="P149" s="67">
        <f>IF($C149="","",IF(INDEX(AM_Cat,MATCH($C149,AM_Type,0))="SLABONLY","SLAB",IF($K149="","",IF($K149="STCG",IF(INDEX(AM_Cat,MATCH($C149,AM_Type,0))="EQ","EQ-ST","SLAB"),IF(INDEX(AM_Cat,MATCH($C149,AM_Type,0))="EQ","EQ-LT",IF(INDEX(AM_Cat,MATCH($C149,AM_Type,0))="PROP","PROP-LT","FLAT-LT"))))))</f>
        <v/>
      </c>
      <c r="Q149" s="71">
        <f>IF($C149="","",IF($P149="","",IF($P149="EQ-LT","pooled",IF($P149="EQ-ST",MAX(0,0.2*$O149),IF($P149="PROP-LT",IF($M149="",MAX(0,0.125*$O149),MAX(0,MIN(0.125*$O149,0.2*($L149-$M149)))),IF($P149="FLAT-LT",MAX(0,0.125*$O149),IF($P149="SLAB",MAX(0,Slab_Rate*$O149),"")))))))</f>
        <v/>
      </c>
    </row>
    <row r="150" ht="15" customHeight="1" s="37">
      <c r="A150" s="72">
        <f>IF($C150="","",ROW()-8)</f>
        <v/>
      </c>
      <c r="B150" s="75" t="n"/>
      <c r="C150" s="75" t="n"/>
      <c r="D150" s="76" t="n"/>
      <c r="E150" s="76" t="n"/>
      <c r="F150" s="77" t="n"/>
      <c r="G150" s="77" t="n"/>
      <c r="H150" s="77" t="n"/>
      <c r="I150" s="77" t="n"/>
      <c r="J150" s="72">
        <f>IF(OR($C150="",NOT(ISNUMBER($D150)),NOT(ISNUMBER($E150))),"",DATEDIF($D150,$E150,"m"))</f>
        <v/>
      </c>
      <c r="K150" s="72">
        <f>IF(OR($C150="",NOT(ISNUMBER($D150)),NOT(ISNUMBER($E150))),"",IF($E150&gt;EDATE($D150,INDEX(AM_LTm,MATCH($C150,AM_Type,0))),"LTCG","STCG"))</f>
        <v/>
      </c>
      <c r="L150" s="74">
        <f>IF($C150="","",$G150-$H150)</f>
        <v/>
      </c>
      <c r="M150" s="74">
        <f>IF(OR($C150="",NOT(ISNUMBER($D150)),NOT(ISNUMBER($E150))),"",IF(AND(INDEX(AM_Index,MATCH($C150,AM_Type,0))=1,$K150="LTCG",$D150&lt;DATE(2024,7,23),Resident="Yes"),$F150*INDEX(CII_Val,MATCH(IF(MONTH($E150)&gt;=4,YEAR($E150),YEAR($E150)-1),CII_Year,0))/INDEX(CII_Val,MATCH(MAX(2001,IF(MONTH($D150)&gt;=4,YEAR($D150),YEAR($D150)-1)),CII_Year,0)),""))</f>
        <v/>
      </c>
      <c r="N150" s="74">
        <f>IF($C150="","",IF(AND(INDEX(AM_Grand,MATCH($C150,AM_Type,0))=1,$K150="LTCG",ISNUMBER($D150),$D150&lt;DATE(2018,2,1),$I150&lt;&gt;""),MAX($F150,MIN($I150,$G150)),$F150))</f>
        <v/>
      </c>
      <c r="O150" s="74">
        <f>IF($C150="","",$L150-$N150)</f>
        <v/>
      </c>
      <c r="P150" s="72">
        <f>IF($C150="","",IF(INDEX(AM_Cat,MATCH($C150,AM_Type,0))="SLABONLY","SLAB",IF($K150="","",IF($K150="STCG",IF(INDEX(AM_Cat,MATCH($C150,AM_Type,0))="EQ","EQ-ST","SLAB"),IF(INDEX(AM_Cat,MATCH($C150,AM_Type,0))="EQ","EQ-LT",IF(INDEX(AM_Cat,MATCH($C150,AM_Type,0))="PROP","PROP-LT","FLAT-LT"))))))</f>
        <v/>
      </c>
      <c r="Q150" s="74">
        <f>IF($C150="","",IF($P150="","",IF($P150="EQ-LT","pooled",IF($P150="EQ-ST",MAX(0,0.2*$O150),IF($P150="PROP-LT",IF($M150="",MAX(0,0.125*$O150),MAX(0,MIN(0.125*$O150,0.2*($L150-$M150)))),IF($P150="FLAT-LT",MAX(0,0.125*$O150),IF($P150="SLAB",MAX(0,Slab_Rate*$O150),"")))))))</f>
        <v/>
      </c>
    </row>
    <row r="151" ht="15" customHeight="1" s="37">
      <c r="A151" s="67">
        <f>IF($C151="","",ROW()-8)</f>
        <v/>
      </c>
      <c r="B151" s="75" t="n"/>
      <c r="C151" s="75" t="n"/>
      <c r="D151" s="76" t="n"/>
      <c r="E151" s="76" t="n"/>
      <c r="F151" s="77" t="n"/>
      <c r="G151" s="77" t="n"/>
      <c r="H151" s="77" t="n"/>
      <c r="I151" s="77" t="n"/>
      <c r="J151" s="67">
        <f>IF(OR($C151="",NOT(ISNUMBER($D151)),NOT(ISNUMBER($E151))),"",DATEDIF($D151,$E151,"m"))</f>
        <v/>
      </c>
      <c r="K151" s="67">
        <f>IF(OR($C151="",NOT(ISNUMBER($D151)),NOT(ISNUMBER($E151))),"",IF($E151&gt;EDATE($D151,INDEX(AM_LTm,MATCH($C151,AM_Type,0))),"LTCG","STCG"))</f>
        <v/>
      </c>
      <c r="L151" s="71">
        <f>IF($C151="","",$G151-$H151)</f>
        <v/>
      </c>
      <c r="M151" s="71">
        <f>IF(OR($C151="",NOT(ISNUMBER($D151)),NOT(ISNUMBER($E151))),"",IF(AND(INDEX(AM_Index,MATCH($C151,AM_Type,0))=1,$K151="LTCG",$D151&lt;DATE(2024,7,23),Resident="Yes"),$F151*INDEX(CII_Val,MATCH(IF(MONTH($E151)&gt;=4,YEAR($E151),YEAR($E151)-1),CII_Year,0))/INDEX(CII_Val,MATCH(MAX(2001,IF(MONTH($D151)&gt;=4,YEAR($D151),YEAR($D151)-1)),CII_Year,0)),""))</f>
        <v/>
      </c>
      <c r="N151" s="71">
        <f>IF($C151="","",IF(AND(INDEX(AM_Grand,MATCH($C151,AM_Type,0))=1,$K151="LTCG",ISNUMBER($D151),$D151&lt;DATE(2018,2,1),$I151&lt;&gt;""),MAX($F151,MIN($I151,$G151)),$F151))</f>
        <v/>
      </c>
      <c r="O151" s="71">
        <f>IF($C151="","",$L151-$N151)</f>
        <v/>
      </c>
      <c r="P151" s="67">
        <f>IF($C151="","",IF(INDEX(AM_Cat,MATCH($C151,AM_Type,0))="SLABONLY","SLAB",IF($K151="","",IF($K151="STCG",IF(INDEX(AM_Cat,MATCH($C151,AM_Type,0))="EQ","EQ-ST","SLAB"),IF(INDEX(AM_Cat,MATCH($C151,AM_Type,0))="EQ","EQ-LT",IF(INDEX(AM_Cat,MATCH($C151,AM_Type,0))="PROP","PROP-LT","FLAT-LT"))))))</f>
        <v/>
      </c>
      <c r="Q151" s="71">
        <f>IF($C151="","",IF($P151="","",IF($P151="EQ-LT","pooled",IF($P151="EQ-ST",MAX(0,0.2*$O151),IF($P151="PROP-LT",IF($M151="",MAX(0,0.125*$O151),MAX(0,MIN(0.125*$O151,0.2*($L151-$M151)))),IF($P151="FLAT-LT",MAX(0,0.125*$O151),IF($P151="SLAB",MAX(0,Slab_Rate*$O151),"")))))))</f>
        <v/>
      </c>
    </row>
    <row r="152" ht="15" customHeight="1" s="37">
      <c r="A152" s="72">
        <f>IF($C152="","",ROW()-8)</f>
        <v/>
      </c>
      <c r="B152" s="75" t="n"/>
      <c r="C152" s="75" t="n"/>
      <c r="D152" s="76" t="n"/>
      <c r="E152" s="76" t="n"/>
      <c r="F152" s="77" t="n"/>
      <c r="G152" s="77" t="n"/>
      <c r="H152" s="77" t="n"/>
      <c r="I152" s="77" t="n"/>
      <c r="J152" s="72">
        <f>IF(OR($C152="",NOT(ISNUMBER($D152)),NOT(ISNUMBER($E152))),"",DATEDIF($D152,$E152,"m"))</f>
        <v/>
      </c>
      <c r="K152" s="72">
        <f>IF(OR($C152="",NOT(ISNUMBER($D152)),NOT(ISNUMBER($E152))),"",IF($E152&gt;EDATE($D152,INDEX(AM_LTm,MATCH($C152,AM_Type,0))),"LTCG","STCG"))</f>
        <v/>
      </c>
      <c r="L152" s="74">
        <f>IF($C152="","",$G152-$H152)</f>
        <v/>
      </c>
      <c r="M152" s="74">
        <f>IF(OR($C152="",NOT(ISNUMBER($D152)),NOT(ISNUMBER($E152))),"",IF(AND(INDEX(AM_Index,MATCH($C152,AM_Type,0))=1,$K152="LTCG",$D152&lt;DATE(2024,7,23),Resident="Yes"),$F152*INDEX(CII_Val,MATCH(IF(MONTH($E152)&gt;=4,YEAR($E152),YEAR($E152)-1),CII_Year,0))/INDEX(CII_Val,MATCH(MAX(2001,IF(MONTH($D152)&gt;=4,YEAR($D152),YEAR($D152)-1)),CII_Year,0)),""))</f>
        <v/>
      </c>
      <c r="N152" s="74">
        <f>IF($C152="","",IF(AND(INDEX(AM_Grand,MATCH($C152,AM_Type,0))=1,$K152="LTCG",ISNUMBER($D152),$D152&lt;DATE(2018,2,1),$I152&lt;&gt;""),MAX($F152,MIN($I152,$G152)),$F152))</f>
        <v/>
      </c>
      <c r="O152" s="74">
        <f>IF($C152="","",$L152-$N152)</f>
        <v/>
      </c>
      <c r="P152" s="72">
        <f>IF($C152="","",IF(INDEX(AM_Cat,MATCH($C152,AM_Type,0))="SLABONLY","SLAB",IF($K152="","",IF($K152="STCG",IF(INDEX(AM_Cat,MATCH($C152,AM_Type,0))="EQ","EQ-ST","SLAB"),IF(INDEX(AM_Cat,MATCH($C152,AM_Type,0))="EQ","EQ-LT",IF(INDEX(AM_Cat,MATCH($C152,AM_Type,0))="PROP","PROP-LT","FLAT-LT"))))))</f>
        <v/>
      </c>
      <c r="Q152" s="74">
        <f>IF($C152="","",IF($P152="","",IF($P152="EQ-LT","pooled",IF($P152="EQ-ST",MAX(0,0.2*$O152),IF($P152="PROP-LT",IF($M152="",MAX(0,0.125*$O152),MAX(0,MIN(0.125*$O152,0.2*($L152-$M152)))),IF($P152="FLAT-LT",MAX(0,0.125*$O152),IF($P152="SLAB",MAX(0,Slab_Rate*$O152),"")))))))</f>
        <v/>
      </c>
    </row>
    <row r="153" ht="15" customHeight="1" s="37">
      <c r="A153" s="67">
        <f>IF($C153="","",ROW()-8)</f>
        <v/>
      </c>
      <c r="B153" s="75" t="n"/>
      <c r="C153" s="75" t="n"/>
      <c r="D153" s="76" t="n"/>
      <c r="E153" s="76" t="n"/>
      <c r="F153" s="77" t="n"/>
      <c r="G153" s="77" t="n"/>
      <c r="H153" s="77" t="n"/>
      <c r="I153" s="77" t="n"/>
      <c r="J153" s="67">
        <f>IF(OR($C153="",NOT(ISNUMBER($D153)),NOT(ISNUMBER($E153))),"",DATEDIF($D153,$E153,"m"))</f>
        <v/>
      </c>
      <c r="K153" s="67">
        <f>IF(OR($C153="",NOT(ISNUMBER($D153)),NOT(ISNUMBER($E153))),"",IF($E153&gt;EDATE($D153,INDEX(AM_LTm,MATCH($C153,AM_Type,0))),"LTCG","STCG"))</f>
        <v/>
      </c>
      <c r="L153" s="71">
        <f>IF($C153="","",$G153-$H153)</f>
        <v/>
      </c>
      <c r="M153" s="71">
        <f>IF(OR($C153="",NOT(ISNUMBER($D153)),NOT(ISNUMBER($E153))),"",IF(AND(INDEX(AM_Index,MATCH($C153,AM_Type,0))=1,$K153="LTCG",$D153&lt;DATE(2024,7,23),Resident="Yes"),$F153*INDEX(CII_Val,MATCH(IF(MONTH($E153)&gt;=4,YEAR($E153),YEAR($E153)-1),CII_Year,0))/INDEX(CII_Val,MATCH(MAX(2001,IF(MONTH($D153)&gt;=4,YEAR($D153),YEAR($D153)-1)),CII_Year,0)),""))</f>
        <v/>
      </c>
      <c r="N153" s="71">
        <f>IF($C153="","",IF(AND(INDEX(AM_Grand,MATCH($C153,AM_Type,0))=1,$K153="LTCG",ISNUMBER($D153),$D153&lt;DATE(2018,2,1),$I153&lt;&gt;""),MAX($F153,MIN($I153,$G153)),$F153))</f>
        <v/>
      </c>
      <c r="O153" s="71">
        <f>IF($C153="","",$L153-$N153)</f>
        <v/>
      </c>
      <c r="P153" s="67">
        <f>IF($C153="","",IF(INDEX(AM_Cat,MATCH($C153,AM_Type,0))="SLABONLY","SLAB",IF($K153="","",IF($K153="STCG",IF(INDEX(AM_Cat,MATCH($C153,AM_Type,0))="EQ","EQ-ST","SLAB"),IF(INDEX(AM_Cat,MATCH($C153,AM_Type,0))="EQ","EQ-LT",IF(INDEX(AM_Cat,MATCH($C153,AM_Type,0))="PROP","PROP-LT","FLAT-LT"))))))</f>
        <v/>
      </c>
      <c r="Q153" s="71">
        <f>IF($C153="","",IF($P153="","",IF($P153="EQ-LT","pooled",IF($P153="EQ-ST",MAX(0,0.2*$O153),IF($P153="PROP-LT",IF($M153="",MAX(0,0.125*$O153),MAX(0,MIN(0.125*$O153,0.2*($L153-$M153)))),IF($P153="FLAT-LT",MAX(0,0.125*$O153),IF($P153="SLAB",MAX(0,Slab_Rate*$O153),"")))))))</f>
        <v/>
      </c>
    </row>
    <row r="154" ht="15" customHeight="1" s="37">
      <c r="A154" s="72">
        <f>IF($C154="","",ROW()-8)</f>
        <v/>
      </c>
      <c r="B154" s="75" t="n"/>
      <c r="C154" s="75" t="n"/>
      <c r="D154" s="76" t="n"/>
      <c r="E154" s="76" t="n"/>
      <c r="F154" s="77" t="n"/>
      <c r="G154" s="77" t="n"/>
      <c r="H154" s="77" t="n"/>
      <c r="I154" s="77" t="n"/>
      <c r="J154" s="72">
        <f>IF(OR($C154="",NOT(ISNUMBER($D154)),NOT(ISNUMBER($E154))),"",DATEDIF($D154,$E154,"m"))</f>
        <v/>
      </c>
      <c r="K154" s="72">
        <f>IF(OR($C154="",NOT(ISNUMBER($D154)),NOT(ISNUMBER($E154))),"",IF($E154&gt;EDATE($D154,INDEX(AM_LTm,MATCH($C154,AM_Type,0))),"LTCG","STCG"))</f>
        <v/>
      </c>
      <c r="L154" s="74">
        <f>IF($C154="","",$G154-$H154)</f>
        <v/>
      </c>
      <c r="M154" s="74">
        <f>IF(OR($C154="",NOT(ISNUMBER($D154)),NOT(ISNUMBER($E154))),"",IF(AND(INDEX(AM_Index,MATCH($C154,AM_Type,0))=1,$K154="LTCG",$D154&lt;DATE(2024,7,23),Resident="Yes"),$F154*INDEX(CII_Val,MATCH(IF(MONTH($E154)&gt;=4,YEAR($E154),YEAR($E154)-1),CII_Year,0))/INDEX(CII_Val,MATCH(MAX(2001,IF(MONTH($D154)&gt;=4,YEAR($D154),YEAR($D154)-1)),CII_Year,0)),""))</f>
        <v/>
      </c>
      <c r="N154" s="74">
        <f>IF($C154="","",IF(AND(INDEX(AM_Grand,MATCH($C154,AM_Type,0))=1,$K154="LTCG",ISNUMBER($D154),$D154&lt;DATE(2018,2,1),$I154&lt;&gt;""),MAX($F154,MIN($I154,$G154)),$F154))</f>
        <v/>
      </c>
      <c r="O154" s="74">
        <f>IF($C154="","",$L154-$N154)</f>
        <v/>
      </c>
      <c r="P154" s="72">
        <f>IF($C154="","",IF(INDEX(AM_Cat,MATCH($C154,AM_Type,0))="SLABONLY","SLAB",IF($K154="","",IF($K154="STCG",IF(INDEX(AM_Cat,MATCH($C154,AM_Type,0))="EQ","EQ-ST","SLAB"),IF(INDEX(AM_Cat,MATCH($C154,AM_Type,0))="EQ","EQ-LT",IF(INDEX(AM_Cat,MATCH($C154,AM_Type,0))="PROP","PROP-LT","FLAT-LT"))))))</f>
        <v/>
      </c>
      <c r="Q154" s="74">
        <f>IF($C154="","",IF($P154="","",IF($P154="EQ-LT","pooled",IF($P154="EQ-ST",MAX(0,0.2*$O154),IF($P154="PROP-LT",IF($M154="",MAX(0,0.125*$O154),MAX(0,MIN(0.125*$O154,0.2*($L154-$M154)))),IF($P154="FLAT-LT",MAX(0,0.125*$O154),IF($P154="SLAB",MAX(0,Slab_Rate*$O154),"")))))))</f>
        <v/>
      </c>
    </row>
    <row r="155" ht="15" customHeight="1" s="37">
      <c r="A155" s="67">
        <f>IF($C155="","",ROW()-8)</f>
        <v/>
      </c>
      <c r="B155" s="75" t="n"/>
      <c r="C155" s="75" t="n"/>
      <c r="D155" s="76" t="n"/>
      <c r="E155" s="76" t="n"/>
      <c r="F155" s="77" t="n"/>
      <c r="G155" s="77" t="n"/>
      <c r="H155" s="77" t="n"/>
      <c r="I155" s="77" t="n"/>
      <c r="J155" s="67">
        <f>IF(OR($C155="",NOT(ISNUMBER($D155)),NOT(ISNUMBER($E155))),"",DATEDIF($D155,$E155,"m"))</f>
        <v/>
      </c>
      <c r="K155" s="67">
        <f>IF(OR($C155="",NOT(ISNUMBER($D155)),NOT(ISNUMBER($E155))),"",IF($E155&gt;EDATE($D155,INDEX(AM_LTm,MATCH($C155,AM_Type,0))),"LTCG","STCG"))</f>
        <v/>
      </c>
      <c r="L155" s="71">
        <f>IF($C155="","",$G155-$H155)</f>
        <v/>
      </c>
      <c r="M155" s="71">
        <f>IF(OR($C155="",NOT(ISNUMBER($D155)),NOT(ISNUMBER($E155))),"",IF(AND(INDEX(AM_Index,MATCH($C155,AM_Type,0))=1,$K155="LTCG",$D155&lt;DATE(2024,7,23),Resident="Yes"),$F155*INDEX(CII_Val,MATCH(IF(MONTH($E155)&gt;=4,YEAR($E155),YEAR($E155)-1),CII_Year,0))/INDEX(CII_Val,MATCH(MAX(2001,IF(MONTH($D155)&gt;=4,YEAR($D155),YEAR($D155)-1)),CII_Year,0)),""))</f>
        <v/>
      </c>
      <c r="N155" s="71">
        <f>IF($C155="","",IF(AND(INDEX(AM_Grand,MATCH($C155,AM_Type,0))=1,$K155="LTCG",ISNUMBER($D155),$D155&lt;DATE(2018,2,1),$I155&lt;&gt;""),MAX($F155,MIN($I155,$G155)),$F155))</f>
        <v/>
      </c>
      <c r="O155" s="71">
        <f>IF($C155="","",$L155-$N155)</f>
        <v/>
      </c>
      <c r="P155" s="67">
        <f>IF($C155="","",IF(INDEX(AM_Cat,MATCH($C155,AM_Type,0))="SLABONLY","SLAB",IF($K155="","",IF($K155="STCG",IF(INDEX(AM_Cat,MATCH($C155,AM_Type,0))="EQ","EQ-ST","SLAB"),IF(INDEX(AM_Cat,MATCH($C155,AM_Type,0))="EQ","EQ-LT",IF(INDEX(AM_Cat,MATCH($C155,AM_Type,0))="PROP","PROP-LT","FLAT-LT"))))))</f>
        <v/>
      </c>
      <c r="Q155" s="71">
        <f>IF($C155="","",IF($P155="","",IF($P155="EQ-LT","pooled",IF($P155="EQ-ST",MAX(0,0.2*$O155),IF($P155="PROP-LT",IF($M155="",MAX(0,0.125*$O155),MAX(0,MIN(0.125*$O155,0.2*($L155-$M155)))),IF($P155="FLAT-LT",MAX(0,0.125*$O155),IF($P155="SLAB",MAX(0,Slab_Rate*$O155),"")))))))</f>
        <v/>
      </c>
    </row>
    <row r="156" ht="15" customHeight="1" s="37">
      <c r="A156" s="72">
        <f>IF($C156="","",ROW()-8)</f>
        <v/>
      </c>
      <c r="B156" s="75" t="n"/>
      <c r="C156" s="75" t="n"/>
      <c r="D156" s="76" t="n"/>
      <c r="E156" s="76" t="n"/>
      <c r="F156" s="77" t="n"/>
      <c r="G156" s="77" t="n"/>
      <c r="H156" s="77" t="n"/>
      <c r="I156" s="77" t="n"/>
      <c r="J156" s="72">
        <f>IF(OR($C156="",NOT(ISNUMBER($D156)),NOT(ISNUMBER($E156))),"",DATEDIF($D156,$E156,"m"))</f>
        <v/>
      </c>
      <c r="K156" s="72">
        <f>IF(OR($C156="",NOT(ISNUMBER($D156)),NOT(ISNUMBER($E156))),"",IF($E156&gt;EDATE($D156,INDEX(AM_LTm,MATCH($C156,AM_Type,0))),"LTCG","STCG"))</f>
        <v/>
      </c>
      <c r="L156" s="74">
        <f>IF($C156="","",$G156-$H156)</f>
        <v/>
      </c>
      <c r="M156" s="74">
        <f>IF(OR($C156="",NOT(ISNUMBER($D156)),NOT(ISNUMBER($E156))),"",IF(AND(INDEX(AM_Index,MATCH($C156,AM_Type,0))=1,$K156="LTCG",$D156&lt;DATE(2024,7,23),Resident="Yes"),$F156*INDEX(CII_Val,MATCH(IF(MONTH($E156)&gt;=4,YEAR($E156),YEAR($E156)-1),CII_Year,0))/INDEX(CII_Val,MATCH(MAX(2001,IF(MONTH($D156)&gt;=4,YEAR($D156),YEAR($D156)-1)),CII_Year,0)),""))</f>
        <v/>
      </c>
      <c r="N156" s="74">
        <f>IF($C156="","",IF(AND(INDEX(AM_Grand,MATCH($C156,AM_Type,0))=1,$K156="LTCG",ISNUMBER($D156),$D156&lt;DATE(2018,2,1),$I156&lt;&gt;""),MAX($F156,MIN($I156,$G156)),$F156))</f>
        <v/>
      </c>
      <c r="O156" s="74">
        <f>IF($C156="","",$L156-$N156)</f>
        <v/>
      </c>
      <c r="P156" s="72">
        <f>IF($C156="","",IF(INDEX(AM_Cat,MATCH($C156,AM_Type,0))="SLABONLY","SLAB",IF($K156="","",IF($K156="STCG",IF(INDEX(AM_Cat,MATCH($C156,AM_Type,0))="EQ","EQ-ST","SLAB"),IF(INDEX(AM_Cat,MATCH($C156,AM_Type,0))="EQ","EQ-LT",IF(INDEX(AM_Cat,MATCH($C156,AM_Type,0))="PROP","PROP-LT","FLAT-LT"))))))</f>
        <v/>
      </c>
      <c r="Q156" s="74">
        <f>IF($C156="","",IF($P156="","",IF($P156="EQ-LT","pooled",IF($P156="EQ-ST",MAX(0,0.2*$O156),IF($P156="PROP-LT",IF($M156="",MAX(0,0.125*$O156),MAX(0,MIN(0.125*$O156,0.2*($L156-$M156)))),IF($P156="FLAT-LT",MAX(0,0.125*$O156),IF($P156="SLAB",MAX(0,Slab_Rate*$O156),"")))))))</f>
        <v/>
      </c>
    </row>
    <row r="157" ht="15" customHeight="1" s="37">
      <c r="A157" s="67">
        <f>IF($C157="","",ROW()-8)</f>
        <v/>
      </c>
      <c r="B157" s="75" t="n"/>
      <c r="C157" s="75" t="n"/>
      <c r="D157" s="76" t="n"/>
      <c r="E157" s="76" t="n"/>
      <c r="F157" s="77" t="n"/>
      <c r="G157" s="77" t="n"/>
      <c r="H157" s="77" t="n"/>
      <c r="I157" s="77" t="n"/>
      <c r="J157" s="67">
        <f>IF(OR($C157="",NOT(ISNUMBER($D157)),NOT(ISNUMBER($E157))),"",DATEDIF($D157,$E157,"m"))</f>
        <v/>
      </c>
      <c r="K157" s="67">
        <f>IF(OR($C157="",NOT(ISNUMBER($D157)),NOT(ISNUMBER($E157))),"",IF($E157&gt;EDATE($D157,INDEX(AM_LTm,MATCH($C157,AM_Type,0))),"LTCG","STCG"))</f>
        <v/>
      </c>
      <c r="L157" s="71">
        <f>IF($C157="","",$G157-$H157)</f>
        <v/>
      </c>
      <c r="M157" s="71">
        <f>IF(OR($C157="",NOT(ISNUMBER($D157)),NOT(ISNUMBER($E157))),"",IF(AND(INDEX(AM_Index,MATCH($C157,AM_Type,0))=1,$K157="LTCG",$D157&lt;DATE(2024,7,23),Resident="Yes"),$F157*INDEX(CII_Val,MATCH(IF(MONTH($E157)&gt;=4,YEAR($E157),YEAR($E157)-1),CII_Year,0))/INDEX(CII_Val,MATCH(MAX(2001,IF(MONTH($D157)&gt;=4,YEAR($D157),YEAR($D157)-1)),CII_Year,0)),""))</f>
        <v/>
      </c>
      <c r="N157" s="71">
        <f>IF($C157="","",IF(AND(INDEX(AM_Grand,MATCH($C157,AM_Type,0))=1,$K157="LTCG",ISNUMBER($D157),$D157&lt;DATE(2018,2,1),$I157&lt;&gt;""),MAX($F157,MIN($I157,$G157)),$F157))</f>
        <v/>
      </c>
      <c r="O157" s="71">
        <f>IF($C157="","",$L157-$N157)</f>
        <v/>
      </c>
      <c r="P157" s="67">
        <f>IF($C157="","",IF(INDEX(AM_Cat,MATCH($C157,AM_Type,0))="SLABONLY","SLAB",IF($K157="","",IF($K157="STCG",IF(INDEX(AM_Cat,MATCH($C157,AM_Type,0))="EQ","EQ-ST","SLAB"),IF(INDEX(AM_Cat,MATCH($C157,AM_Type,0))="EQ","EQ-LT",IF(INDEX(AM_Cat,MATCH($C157,AM_Type,0))="PROP","PROP-LT","FLAT-LT"))))))</f>
        <v/>
      </c>
      <c r="Q157" s="71">
        <f>IF($C157="","",IF($P157="","",IF($P157="EQ-LT","pooled",IF($P157="EQ-ST",MAX(0,0.2*$O157),IF($P157="PROP-LT",IF($M157="",MAX(0,0.125*$O157),MAX(0,MIN(0.125*$O157,0.2*($L157-$M157)))),IF($P157="FLAT-LT",MAX(0,0.125*$O157),IF($P157="SLAB",MAX(0,Slab_Rate*$O157),"")))))))</f>
        <v/>
      </c>
    </row>
    <row r="158" ht="15" customHeight="1" s="37">
      <c r="A158" s="72">
        <f>IF($C158="","",ROW()-8)</f>
        <v/>
      </c>
      <c r="B158" s="75" t="n"/>
      <c r="C158" s="75" t="n"/>
      <c r="D158" s="76" t="n"/>
      <c r="E158" s="76" t="n"/>
      <c r="F158" s="77" t="n"/>
      <c r="G158" s="77" t="n"/>
      <c r="H158" s="77" t="n"/>
      <c r="I158" s="77" t="n"/>
      <c r="J158" s="72">
        <f>IF(OR($C158="",NOT(ISNUMBER($D158)),NOT(ISNUMBER($E158))),"",DATEDIF($D158,$E158,"m"))</f>
        <v/>
      </c>
      <c r="K158" s="72">
        <f>IF(OR($C158="",NOT(ISNUMBER($D158)),NOT(ISNUMBER($E158))),"",IF($E158&gt;EDATE($D158,INDEX(AM_LTm,MATCH($C158,AM_Type,0))),"LTCG","STCG"))</f>
        <v/>
      </c>
      <c r="L158" s="74">
        <f>IF($C158="","",$G158-$H158)</f>
        <v/>
      </c>
      <c r="M158" s="74">
        <f>IF(OR($C158="",NOT(ISNUMBER($D158)),NOT(ISNUMBER($E158))),"",IF(AND(INDEX(AM_Index,MATCH($C158,AM_Type,0))=1,$K158="LTCG",$D158&lt;DATE(2024,7,23),Resident="Yes"),$F158*INDEX(CII_Val,MATCH(IF(MONTH($E158)&gt;=4,YEAR($E158),YEAR($E158)-1),CII_Year,0))/INDEX(CII_Val,MATCH(MAX(2001,IF(MONTH($D158)&gt;=4,YEAR($D158),YEAR($D158)-1)),CII_Year,0)),""))</f>
        <v/>
      </c>
      <c r="N158" s="74">
        <f>IF($C158="","",IF(AND(INDEX(AM_Grand,MATCH($C158,AM_Type,0))=1,$K158="LTCG",ISNUMBER($D158),$D158&lt;DATE(2018,2,1),$I158&lt;&gt;""),MAX($F158,MIN($I158,$G158)),$F158))</f>
        <v/>
      </c>
      <c r="O158" s="74">
        <f>IF($C158="","",$L158-$N158)</f>
        <v/>
      </c>
      <c r="P158" s="72">
        <f>IF($C158="","",IF(INDEX(AM_Cat,MATCH($C158,AM_Type,0))="SLABONLY","SLAB",IF($K158="","",IF($K158="STCG",IF(INDEX(AM_Cat,MATCH($C158,AM_Type,0))="EQ","EQ-ST","SLAB"),IF(INDEX(AM_Cat,MATCH($C158,AM_Type,0))="EQ","EQ-LT",IF(INDEX(AM_Cat,MATCH($C158,AM_Type,0))="PROP","PROP-LT","FLAT-LT"))))))</f>
        <v/>
      </c>
      <c r="Q158" s="74">
        <f>IF($C158="","",IF($P158="","",IF($P158="EQ-LT","pooled",IF($P158="EQ-ST",MAX(0,0.2*$O158),IF($P158="PROP-LT",IF($M158="",MAX(0,0.125*$O158),MAX(0,MIN(0.125*$O158,0.2*($L158-$M158)))),IF($P158="FLAT-LT",MAX(0,0.125*$O158),IF($P158="SLAB",MAX(0,Slab_Rate*$O158),"")))))))</f>
        <v/>
      </c>
    </row>
    <row r="159" ht="15" customHeight="1" s="37">
      <c r="A159" s="67">
        <f>IF($C159="","",ROW()-8)</f>
        <v/>
      </c>
      <c r="B159" s="75" t="n"/>
      <c r="C159" s="75" t="n"/>
      <c r="D159" s="76" t="n"/>
      <c r="E159" s="76" t="n"/>
      <c r="F159" s="77" t="n"/>
      <c r="G159" s="77" t="n"/>
      <c r="H159" s="77" t="n"/>
      <c r="I159" s="77" t="n"/>
      <c r="J159" s="67">
        <f>IF(OR($C159="",NOT(ISNUMBER($D159)),NOT(ISNUMBER($E159))),"",DATEDIF($D159,$E159,"m"))</f>
        <v/>
      </c>
      <c r="K159" s="67">
        <f>IF(OR($C159="",NOT(ISNUMBER($D159)),NOT(ISNUMBER($E159))),"",IF($E159&gt;EDATE($D159,INDEX(AM_LTm,MATCH($C159,AM_Type,0))),"LTCG","STCG"))</f>
        <v/>
      </c>
      <c r="L159" s="71">
        <f>IF($C159="","",$G159-$H159)</f>
        <v/>
      </c>
      <c r="M159" s="71">
        <f>IF(OR($C159="",NOT(ISNUMBER($D159)),NOT(ISNUMBER($E159))),"",IF(AND(INDEX(AM_Index,MATCH($C159,AM_Type,0))=1,$K159="LTCG",$D159&lt;DATE(2024,7,23),Resident="Yes"),$F159*INDEX(CII_Val,MATCH(IF(MONTH($E159)&gt;=4,YEAR($E159),YEAR($E159)-1),CII_Year,0))/INDEX(CII_Val,MATCH(MAX(2001,IF(MONTH($D159)&gt;=4,YEAR($D159),YEAR($D159)-1)),CII_Year,0)),""))</f>
        <v/>
      </c>
      <c r="N159" s="71">
        <f>IF($C159="","",IF(AND(INDEX(AM_Grand,MATCH($C159,AM_Type,0))=1,$K159="LTCG",ISNUMBER($D159),$D159&lt;DATE(2018,2,1),$I159&lt;&gt;""),MAX($F159,MIN($I159,$G159)),$F159))</f>
        <v/>
      </c>
      <c r="O159" s="71">
        <f>IF($C159="","",$L159-$N159)</f>
        <v/>
      </c>
      <c r="P159" s="67">
        <f>IF($C159="","",IF(INDEX(AM_Cat,MATCH($C159,AM_Type,0))="SLABONLY","SLAB",IF($K159="","",IF($K159="STCG",IF(INDEX(AM_Cat,MATCH($C159,AM_Type,0))="EQ","EQ-ST","SLAB"),IF(INDEX(AM_Cat,MATCH($C159,AM_Type,0))="EQ","EQ-LT",IF(INDEX(AM_Cat,MATCH($C159,AM_Type,0))="PROP","PROP-LT","FLAT-LT"))))))</f>
        <v/>
      </c>
      <c r="Q159" s="71">
        <f>IF($C159="","",IF($P159="","",IF($P159="EQ-LT","pooled",IF($P159="EQ-ST",MAX(0,0.2*$O159),IF($P159="PROP-LT",IF($M159="",MAX(0,0.125*$O159),MAX(0,MIN(0.125*$O159,0.2*($L159-$M159)))),IF($P159="FLAT-LT",MAX(0,0.125*$O159),IF($P159="SLAB",MAX(0,Slab_Rate*$O159),"")))))))</f>
        <v/>
      </c>
    </row>
    <row r="160" ht="15" customHeight="1" s="37">
      <c r="A160" s="72">
        <f>IF($C160="","",ROW()-8)</f>
        <v/>
      </c>
      <c r="B160" s="75" t="n"/>
      <c r="C160" s="75" t="n"/>
      <c r="D160" s="76" t="n"/>
      <c r="E160" s="76" t="n"/>
      <c r="F160" s="77" t="n"/>
      <c r="G160" s="77" t="n"/>
      <c r="H160" s="77" t="n"/>
      <c r="I160" s="77" t="n"/>
      <c r="J160" s="72">
        <f>IF(OR($C160="",NOT(ISNUMBER($D160)),NOT(ISNUMBER($E160))),"",DATEDIF($D160,$E160,"m"))</f>
        <v/>
      </c>
      <c r="K160" s="72">
        <f>IF(OR($C160="",NOT(ISNUMBER($D160)),NOT(ISNUMBER($E160))),"",IF($E160&gt;EDATE($D160,INDEX(AM_LTm,MATCH($C160,AM_Type,0))),"LTCG","STCG"))</f>
        <v/>
      </c>
      <c r="L160" s="74">
        <f>IF($C160="","",$G160-$H160)</f>
        <v/>
      </c>
      <c r="M160" s="74">
        <f>IF(OR($C160="",NOT(ISNUMBER($D160)),NOT(ISNUMBER($E160))),"",IF(AND(INDEX(AM_Index,MATCH($C160,AM_Type,0))=1,$K160="LTCG",$D160&lt;DATE(2024,7,23),Resident="Yes"),$F160*INDEX(CII_Val,MATCH(IF(MONTH($E160)&gt;=4,YEAR($E160),YEAR($E160)-1),CII_Year,0))/INDEX(CII_Val,MATCH(MAX(2001,IF(MONTH($D160)&gt;=4,YEAR($D160),YEAR($D160)-1)),CII_Year,0)),""))</f>
        <v/>
      </c>
      <c r="N160" s="74">
        <f>IF($C160="","",IF(AND(INDEX(AM_Grand,MATCH($C160,AM_Type,0))=1,$K160="LTCG",ISNUMBER($D160),$D160&lt;DATE(2018,2,1),$I160&lt;&gt;""),MAX($F160,MIN($I160,$G160)),$F160))</f>
        <v/>
      </c>
      <c r="O160" s="74">
        <f>IF($C160="","",$L160-$N160)</f>
        <v/>
      </c>
      <c r="P160" s="72">
        <f>IF($C160="","",IF(INDEX(AM_Cat,MATCH($C160,AM_Type,0))="SLABONLY","SLAB",IF($K160="","",IF($K160="STCG",IF(INDEX(AM_Cat,MATCH($C160,AM_Type,0))="EQ","EQ-ST","SLAB"),IF(INDEX(AM_Cat,MATCH($C160,AM_Type,0))="EQ","EQ-LT",IF(INDEX(AM_Cat,MATCH($C160,AM_Type,0))="PROP","PROP-LT","FLAT-LT"))))))</f>
        <v/>
      </c>
      <c r="Q160" s="74">
        <f>IF($C160="","",IF($P160="","",IF($P160="EQ-LT","pooled",IF($P160="EQ-ST",MAX(0,0.2*$O160),IF($P160="PROP-LT",IF($M160="",MAX(0,0.125*$O160),MAX(0,MIN(0.125*$O160,0.2*($L160-$M160)))),IF($P160="FLAT-LT",MAX(0,0.125*$O160),IF($P160="SLAB",MAX(0,Slab_Rate*$O160),"")))))))</f>
        <v/>
      </c>
    </row>
    <row r="161" ht="15" customHeight="1" s="37">
      <c r="A161" s="67">
        <f>IF($C161="","",ROW()-8)</f>
        <v/>
      </c>
      <c r="B161" s="75" t="n"/>
      <c r="C161" s="75" t="n"/>
      <c r="D161" s="76" t="n"/>
      <c r="E161" s="76" t="n"/>
      <c r="F161" s="77" t="n"/>
      <c r="G161" s="77" t="n"/>
      <c r="H161" s="77" t="n"/>
      <c r="I161" s="77" t="n"/>
      <c r="J161" s="67">
        <f>IF(OR($C161="",NOT(ISNUMBER($D161)),NOT(ISNUMBER($E161))),"",DATEDIF($D161,$E161,"m"))</f>
        <v/>
      </c>
      <c r="K161" s="67">
        <f>IF(OR($C161="",NOT(ISNUMBER($D161)),NOT(ISNUMBER($E161))),"",IF($E161&gt;EDATE($D161,INDEX(AM_LTm,MATCH($C161,AM_Type,0))),"LTCG","STCG"))</f>
        <v/>
      </c>
      <c r="L161" s="71">
        <f>IF($C161="","",$G161-$H161)</f>
        <v/>
      </c>
      <c r="M161" s="71">
        <f>IF(OR($C161="",NOT(ISNUMBER($D161)),NOT(ISNUMBER($E161))),"",IF(AND(INDEX(AM_Index,MATCH($C161,AM_Type,0))=1,$K161="LTCG",$D161&lt;DATE(2024,7,23),Resident="Yes"),$F161*INDEX(CII_Val,MATCH(IF(MONTH($E161)&gt;=4,YEAR($E161),YEAR($E161)-1),CII_Year,0))/INDEX(CII_Val,MATCH(MAX(2001,IF(MONTH($D161)&gt;=4,YEAR($D161),YEAR($D161)-1)),CII_Year,0)),""))</f>
        <v/>
      </c>
      <c r="N161" s="71">
        <f>IF($C161="","",IF(AND(INDEX(AM_Grand,MATCH($C161,AM_Type,0))=1,$K161="LTCG",ISNUMBER($D161),$D161&lt;DATE(2018,2,1),$I161&lt;&gt;""),MAX($F161,MIN($I161,$G161)),$F161))</f>
        <v/>
      </c>
      <c r="O161" s="71">
        <f>IF($C161="","",$L161-$N161)</f>
        <v/>
      </c>
      <c r="P161" s="67">
        <f>IF($C161="","",IF(INDEX(AM_Cat,MATCH($C161,AM_Type,0))="SLABONLY","SLAB",IF($K161="","",IF($K161="STCG",IF(INDEX(AM_Cat,MATCH($C161,AM_Type,0))="EQ","EQ-ST","SLAB"),IF(INDEX(AM_Cat,MATCH($C161,AM_Type,0))="EQ","EQ-LT",IF(INDEX(AM_Cat,MATCH($C161,AM_Type,0))="PROP","PROP-LT","FLAT-LT"))))))</f>
        <v/>
      </c>
      <c r="Q161" s="71">
        <f>IF($C161="","",IF($P161="","",IF($P161="EQ-LT","pooled",IF($P161="EQ-ST",MAX(0,0.2*$O161),IF($P161="PROP-LT",IF($M161="",MAX(0,0.125*$O161),MAX(0,MIN(0.125*$O161,0.2*($L161-$M161)))),IF($P161="FLAT-LT",MAX(0,0.125*$O161),IF($P161="SLAB",MAX(0,Slab_Rate*$O161),"")))))))</f>
        <v/>
      </c>
    </row>
    <row r="162" ht="15" customHeight="1" s="37">
      <c r="A162" s="72">
        <f>IF($C162="","",ROW()-8)</f>
        <v/>
      </c>
      <c r="B162" s="75" t="n"/>
      <c r="C162" s="75" t="n"/>
      <c r="D162" s="76" t="n"/>
      <c r="E162" s="76" t="n"/>
      <c r="F162" s="77" t="n"/>
      <c r="G162" s="77" t="n"/>
      <c r="H162" s="77" t="n"/>
      <c r="I162" s="77" t="n"/>
      <c r="J162" s="72">
        <f>IF(OR($C162="",NOT(ISNUMBER($D162)),NOT(ISNUMBER($E162))),"",DATEDIF($D162,$E162,"m"))</f>
        <v/>
      </c>
      <c r="K162" s="72">
        <f>IF(OR($C162="",NOT(ISNUMBER($D162)),NOT(ISNUMBER($E162))),"",IF($E162&gt;EDATE($D162,INDEX(AM_LTm,MATCH($C162,AM_Type,0))),"LTCG","STCG"))</f>
        <v/>
      </c>
      <c r="L162" s="74">
        <f>IF($C162="","",$G162-$H162)</f>
        <v/>
      </c>
      <c r="M162" s="74">
        <f>IF(OR($C162="",NOT(ISNUMBER($D162)),NOT(ISNUMBER($E162))),"",IF(AND(INDEX(AM_Index,MATCH($C162,AM_Type,0))=1,$K162="LTCG",$D162&lt;DATE(2024,7,23),Resident="Yes"),$F162*INDEX(CII_Val,MATCH(IF(MONTH($E162)&gt;=4,YEAR($E162),YEAR($E162)-1),CII_Year,0))/INDEX(CII_Val,MATCH(MAX(2001,IF(MONTH($D162)&gt;=4,YEAR($D162),YEAR($D162)-1)),CII_Year,0)),""))</f>
        <v/>
      </c>
      <c r="N162" s="74">
        <f>IF($C162="","",IF(AND(INDEX(AM_Grand,MATCH($C162,AM_Type,0))=1,$K162="LTCG",ISNUMBER($D162),$D162&lt;DATE(2018,2,1),$I162&lt;&gt;""),MAX($F162,MIN($I162,$G162)),$F162))</f>
        <v/>
      </c>
      <c r="O162" s="74">
        <f>IF($C162="","",$L162-$N162)</f>
        <v/>
      </c>
      <c r="P162" s="72">
        <f>IF($C162="","",IF(INDEX(AM_Cat,MATCH($C162,AM_Type,0))="SLABONLY","SLAB",IF($K162="","",IF($K162="STCG",IF(INDEX(AM_Cat,MATCH($C162,AM_Type,0))="EQ","EQ-ST","SLAB"),IF(INDEX(AM_Cat,MATCH($C162,AM_Type,0))="EQ","EQ-LT",IF(INDEX(AM_Cat,MATCH($C162,AM_Type,0))="PROP","PROP-LT","FLAT-LT"))))))</f>
        <v/>
      </c>
      <c r="Q162" s="74">
        <f>IF($C162="","",IF($P162="","",IF($P162="EQ-LT","pooled",IF($P162="EQ-ST",MAX(0,0.2*$O162),IF($P162="PROP-LT",IF($M162="",MAX(0,0.125*$O162),MAX(0,MIN(0.125*$O162,0.2*($L162-$M162)))),IF($P162="FLAT-LT",MAX(0,0.125*$O162),IF($P162="SLAB",MAX(0,Slab_Rate*$O162),"")))))))</f>
        <v/>
      </c>
    </row>
    <row r="163" ht="15" customHeight="1" s="37">
      <c r="A163" s="67">
        <f>IF($C163="","",ROW()-8)</f>
        <v/>
      </c>
      <c r="B163" s="75" t="n"/>
      <c r="C163" s="75" t="n"/>
      <c r="D163" s="76" t="n"/>
      <c r="E163" s="76" t="n"/>
      <c r="F163" s="77" t="n"/>
      <c r="G163" s="77" t="n"/>
      <c r="H163" s="77" t="n"/>
      <c r="I163" s="77" t="n"/>
      <c r="J163" s="67">
        <f>IF(OR($C163="",NOT(ISNUMBER($D163)),NOT(ISNUMBER($E163))),"",DATEDIF($D163,$E163,"m"))</f>
        <v/>
      </c>
      <c r="K163" s="67">
        <f>IF(OR($C163="",NOT(ISNUMBER($D163)),NOT(ISNUMBER($E163))),"",IF($E163&gt;EDATE($D163,INDEX(AM_LTm,MATCH($C163,AM_Type,0))),"LTCG","STCG"))</f>
        <v/>
      </c>
      <c r="L163" s="71">
        <f>IF($C163="","",$G163-$H163)</f>
        <v/>
      </c>
      <c r="M163" s="71">
        <f>IF(OR($C163="",NOT(ISNUMBER($D163)),NOT(ISNUMBER($E163))),"",IF(AND(INDEX(AM_Index,MATCH($C163,AM_Type,0))=1,$K163="LTCG",$D163&lt;DATE(2024,7,23),Resident="Yes"),$F163*INDEX(CII_Val,MATCH(IF(MONTH($E163)&gt;=4,YEAR($E163),YEAR($E163)-1),CII_Year,0))/INDEX(CII_Val,MATCH(MAX(2001,IF(MONTH($D163)&gt;=4,YEAR($D163),YEAR($D163)-1)),CII_Year,0)),""))</f>
        <v/>
      </c>
      <c r="N163" s="71">
        <f>IF($C163="","",IF(AND(INDEX(AM_Grand,MATCH($C163,AM_Type,0))=1,$K163="LTCG",ISNUMBER($D163),$D163&lt;DATE(2018,2,1),$I163&lt;&gt;""),MAX($F163,MIN($I163,$G163)),$F163))</f>
        <v/>
      </c>
      <c r="O163" s="71">
        <f>IF($C163="","",$L163-$N163)</f>
        <v/>
      </c>
      <c r="P163" s="67">
        <f>IF($C163="","",IF(INDEX(AM_Cat,MATCH($C163,AM_Type,0))="SLABONLY","SLAB",IF($K163="","",IF($K163="STCG",IF(INDEX(AM_Cat,MATCH($C163,AM_Type,0))="EQ","EQ-ST","SLAB"),IF(INDEX(AM_Cat,MATCH($C163,AM_Type,0))="EQ","EQ-LT",IF(INDEX(AM_Cat,MATCH($C163,AM_Type,0))="PROP","PROP-LT","FLAT-LT"))))))</f>
        <v/>
      </c>
      <c r="Q163" s="71">
        <f>IF($C163="","",IF($P163="","",IF($P163="EQ-LT","pooled",IF($P163="EQ-ST",MAX(0,0.2*$O163),IF($P163="PROP-LT",IF($M163="",MAX(0,0.125*$O163),MAX(0,MIN(0.125*$O163,0.2*($L163-$M163)))),IF($P163="FLAT-LT",MAX(0,0.125*$O163),IF($P163="SLAB",MAX(0,Slab_Rate*$O163),"")))))))</f>
        <v/>
      </c>
    </row>
    <row r="164" ht="15" customHeight="1" s="37">
      <c r="A164" s="72">
        <f>IF($C164="","",ROW()-8)</f>
        <v/>
      </c>
      <c r="B164" s="75" t="n"/>
      <c r="C164" s="75" t="n"/>
      <c r="D164" s="76" t="n"/>
      <c r="E164" s="76" t="n"/>
      <c r="F164" s="77" t="n"/>
      <c r="G164" s="77" t="n"/>
      <c r="H164" s="77" t="n"/>
      <c r="I164" s="77" t="n"/>
      <c r="J164" s="72">
        <f>IF(OR($C164="",NOT(ISNUMBER($D164)),NOT(ISNUMBER($E164))),"",DATEDIF($D164,$E164,"m"))</f>
        <v/>
      </c>
      <c r="K164" s="72">
        <f>IF(OR($C164="",NOT(ISNUMBER($D164)),NOT(ISNUMBER($E164))),"",IF($E164&gt;EDATE($D164,INDEX(AM_LTm,MATCH($C164,AM_Type,0))),"LTCG","STCG"))</f>
        <v/>
      </c>
      <c r="L164" s="74">
        <f>IF($C164="","",$G164-$H164)</f>
        <v/>
      </c>
      <c r="M164" s="74">
        <f>IF(OR($C164="",NOT(ISNUMBER($D164)),NOT(ISNUMBER($E164))),"",IF(AND(INDEX(AM_Index,MATCH($C164,AM_Type,0))=1,$K164="LTCG",$D164&lt;DATE(2024,7,23),Resident="Yes"),$F164*INDEX(CII_Val,MATCH(IF(MONTH($E164)&gt;=4,YEAR($E164),YEAR($E164)-1),CII_Year,0))/INDEX(CII_Val,MATCH(MAX(2001,IF(MONTH($D164)&gt;=4,YEAR($D164),YEAR($D164)-1)),CII_Year,0)),""))</f>
        <v/>
      </c>
      <c r="N164" s="74">
        <f>IF($C164="","",IF(AND(INDEX(AM_Grand,MATCH($C164,AM_Type,0))=1,$K164="LTCG",ISNUMBER($D164),$D164&lt;DATE(2018,2,1),$I164&lt;&gt;""),MAX($F164,MIN($I164,$G164)),$F164))</f>
        <v/>
      </c>
      <c r="O164" s="74">
        <f>IF($C164="","",$L164-$N164)</f>
        <v/>
      </c>
      <c r="P164" s="72">
        <f>IF($C164="","",IF(INDEX(AM_Cat,MATCH($C164,AM_Type,0))="SLABONLY","SLAB",IF($K164="","",IF($K164="STCG",IF(INDEX(AM_Cat,MATCH($C164,AM_Type,0))="EQ","EQ-ST","SLAB"),IF(INDEX(AM_Cat,MATCH($C164,AM_Type,0))="EQ","EQ-LT",IF(INDEX(AM_Cat,MATCH($C164,AM_Type,0))="PROP","PROP-LT","FLAT-LT"))))))</f>
        <v/>
      </c>
      <c r="Q164" s="74">
        <f>IF($C164="","",IF($P164="","",IF($P164="EQ-LT","pooled",IF($P164="EQ-ST",MAX(0,0.2*$O164),IF($P164="PROP-LT",IF($M164="",MAX(0,0.125*$O164),MAX(0,MIN(0.125*$O164,0.2*($L164-$M164)))),IF($P164="FLAT-LT",MAX(0,0.125*$O164),IF($P164="SLAB",MAX(0,Slab_Rate*$O164),"")))))))</f>
        <v/>
      </c>
    </row>
    <row r="165" ht="15" customHeight="1" s="37">
      <c r="A165" s="67">
        <f>IF($C165="","",ROW()-8)</f>
        <v/>
      </c>
      <c r="B165" s="75" t="n"/>
      <c r="C165" s="75" t="n"/>
      <c r="D165" s="76" t="n"/>
      <c r="E165" s="76" t="n"/>
      <c r="F165" s="77" t="n"/>
      <c r="G165" s="77" t="n"/>
      <c r="H165" s="77" t="n"/>
      <c r="I165" s="77" t="n"/>
      <c r="J165" s="67">
        <f>IF(OR($C165="",NOT(ISNUMBER($D165)),NOT(ISNUMBER($E165))),"",DATEDIF($D165,$E165,"m"))</f>
        <v/>
      </c>
      <c r="K165" s="67">
        <f>IF(OR($C165="",NOT(ISNUMBER($D165)),NOT(ISNUMBER($E165))),"",IF($E165&gt;EDATE($D165,INDEX(AM_LTm,MATCH($C165,AM_Type,0))),"LTCG","STCG"))</f>
        <v/>
      </c>
      <c r="L165" s="71">
        <f>IF($C165="","",$G165-$H165)</f>
        <v/>
      </c>
      <c r="M165" s="71">
        <f>IF(OR($C165="",NOT(ISNUMBER($D165)),NOT(ISNUMBER($E165))),"",IF(AND(INDEX(AM_Index,MATCH($C165,AM_Type,0))=1,$K165="LTCG",$D165&lt;DATE(2024,7,23),Resident="Yes"),$F165*INDEX(CII_Val,MATCH(IF(MONTH($E165)&gt;=4,YEAR($E165),YEAR($E165)-1),CII_Year,0))/INDEX(CII_Val,MATCH(MAX(2001,IF(MONTH($D165)&gt;=4,YEAR($D165),YEAR($D165)-1)),CII_Year,0)),""))</f>
        <v/>
      </c>
      <c r="N165" s="71">
        <f>IF($C165="","",IF(AND(INDEX(AM_Grand,MATCH($C165,AM_Type,0))=1,$K165="LTCG",ISNUMBER($D165),$D165&lt;DATE(2018,2,1),$I165&lt;&gt;""),MAX($F165,MIN($I165,$G165)),$F165))</f>
        <v/>
      </c>
      <c r="O165" s="71">
        <f>IF($C165="","",$L165-$N165)</f>
        <v/>
      </c>
      <c r="P165" s="67">
        <f>IF($C165="","",IF(INDEX(AM_Cat,MATCH($C165,AM_Type,0))="SLABONLY","SLAB",IF($K165="","",IF($K165="STCG",IF(INDEX(AM_Cat,MATCH($C165,AM_Type,0))="EQ","EQ-ST","SLAB"),IF(INDEX(AM_Cat,MATCH($C165,AM_Type,0))="EQ","EQ-LT",IF(INDEX(AM_Cat,MATCH($C165,AM_Type,0))="PROP","PROP-LT","FLAT-LT"))))))</f>
        <v/>
      </c>
      <c r="Q165" s="71">
        <f>IF($C165="","",IF($P165="","",IF($P165="EQ-LT","pooled",IF($P165="EQ-ST",MAX(0,0.2*$O165),IF($P165="PROP-LT",IF($M165="",MAX(0,0.125*$O165),MAX(0,MIN(0.125*$O165,0.2*($L165-$M165)))),IF($P165="FLAT-LT",MAX(0,0.125*$O165),IF($P165="SLAB",MAX(0,Slab_Rate*$O165),"")))))))</f>
        <v/>
      </c>
    </row>
    <row r="166" ht="15" customHeight="1" s="37">
      <c r="A166" s="72">
        <f>IF($C166="","",ROW()-8)</f>
        <v/>
      </c>
      <c r="B166" s="75" t="n"/>
      <c r="C166" s="75" t="n"/>
      <c r="D166" s="76" t="n"/>
      <c r="E166" s="76" t="n"/>
      <c r="F166" s="77" t="n"/>
      <c r="G166" s="77" t="n"/>
      <c r="H166" s="77" t="n"/>
      <c r="I166" s="77" t="n"/>
      <c r="J166" s="72">
        <f>IF(OR($C166="",NOT(ISNUMBER($D166)),NOT(ISNUMBER($E166))),"",DATEDIF($D166,$E166,"m"))</f>
        <v/>
      </c>
      <c r="K166" s="72">
        <f>IF(OR($C166="",NOT(ISNUMBER($D166)),NOT(ISNUMBER($E166))),"",IF($E166&gt;EDATE($D166,INDEX(AM_LTm,MATCH($C166,AM_Type,0))),"LTCG","STCG"))</f>
        <v/>
      </c>
      <c r="L166" s="74">
        <f>IF($C166="","",$G166-$H166)</f>
        <v/>
      </c>
      <c r="M166" s="74">
        <f>IF(OR($C166="",NOT(ISNUMBER($D166)),NOT(ISNUMBER($E166))),"",IF(AND(INDEX(AM_Index,MATCH($C166,AM_Type,0))=1,$K166="LTCG",$D166&lt;DATE(2024,7,23),Resident="Yes"),$F166*INDEX(CII_Val,MATCH(IF(MONTH($E166)&gt;=4,YEAR($E166),YEAR($E166)-1),CII_Year,0))/INDEX(CII_Val,MATCH(MAX(2001,IF(MONTH($D166)&gt;=4,YEAR($D166),YEAR($D166)-1)),CII_Year,0)),""))</f>
        <v/>
      </c>
      <c r="N166" s="74">
        <f>IF($C166="","",IF(AND(INDEX(AM_Grand,MATCH($C166,AM_Type,0))=1,$K166="LTCG",ISNUMBER($D166),$D166&lt;DATE(2018,2,1),$I166&lt;&gt;""),MAX($F166,MIN($I166,$G166)),$F166))</f>
        <v/>
      </c>
      <c r="O166" s="74">
        <f>IF($C166="","",$L166-$N166)</f>
        <v/>
      </c>
      <c r="P166" s="72">
        <f>IF($C166="","",IF(INDEX(AM_Cat,MATCH($C166,AM_Type,0))="SLABONLY","SLAB",IF($K166="","",IF($K166="STCG",IF(INDEX(AM_Cat,MATCH($C166,AM_Type,0))="EQ","EQ-ST","SLAB"),IF(INDEX(AM_Cat,MATCH($C166,AM_Type,0))="EQ","EQ-LT",IF(INDEX(AM_Cat,MATCH($C166,AM_Type,0))="PROP","PROP-LT","FLAT-LT"))))))</f>
        <v/>
      </c>
      <c r="Q166" s="74">
        <f>IF($C166="","",IF($P166="","",IF($P166="EQ-LT","pooled",IF($P166="EQ-ST",MAX(0,0.2*$O166),IF($P166="PROP-LT",IF($M166="",MAX(0,0.125*$O166),MAX(0,MIN(0.125*$O166,0.2*($L166-$M166)))),IF($P166="FLAT-LT",MAX(0,0.125*$O166),IF($P166="SLAB",MAX(0,Slab_Rate*$O166),"")))))))</f>
        <v/>
      </c>
    </row>
    <row r="167" ht="15" customHeight="1" s="37">
      <c r="A167" s="67">
        <f>IF($C167="","",ROW()-8)</f>
        <v/>
      </c>
      <c r="B167" s="75" t="n"/>
      <c r="C167" s="75" t="n"/>
      <c r="D167" s="76" t="n"/>
      <c r="E167" s="76" t="n"/>
      <c r="F167" s="77" t="n"/>
      <c r="G167" s="77" t="n"/>
      <c r="H167" s="77" t="n"/>
      <c r="I167" s="77" t="n"/>
      <c r="J167" s="67">
        <f>IF(OR($C167="",NOT(ISNUMBER($D167)),NOT(ISNUMBER($E167))),"",DATEDIF($D167,$E167,"m"))</f>
        <v/>
      </c>
      <c r="K167" s="67">
        <f>IF(OR($C167="",NOT(ISNUMBER($D167)),NOT(ISNUMBER($E167))),"",IF($E167&gt;EDATE($D167,INDEX(AM_LTm,MATCH($C167,AM_Type,0))),"LTCG","STCG"))</f>
        <v/>
      </c>
      <c r="L167" s="71">
        <f>IF($C167="","",$G167-$H167)</f>
        <v/>
      </c>
      <c r="M167" s="71">
        <f>IF(OR($C167="",NOT(ISNUMBER($D167)),NOT(ISNUMBER($E167))),"",IF(AND(INDEX(AM_Index,MATCH($C167,AM_Type,0))=1,$K167="LTCG",$D167&lt;DATE(2024,7,23),Resident="Yes"),$F167*INDEX(CII_Val,MATCH(IF(MONTH($E167)&gt;=4,YEAR($E167),YEAR($E167)-1),CII_Year,0))/INDEX(CII_Val,MATCH(MAX(2001,IF(MONTH($D167)&gt;=4,YEAR($D167),YEAR($D167)-1)),CII_Year,0)),""))</f>
        <v/>
      </c>
      <c r="N167" s="71">
        <f>IF($C167="","",IF(AND(INDEX(AM_Grand,MATCH($C167,AM_Type,0))=1,$K167="LTCG",ISNUMBER($D167),$D167&lt;DATE(2018,2,1),$I167&lt;&gt;""),MAX($F167,MIN($I167,$G167)),$F167))</f>
        <v/>
      </c>
      <c r="O167" s="71">
        <f>IF($C167="","",$L167-$N167)</f>
        <v/>
      </c>
      <c r="P167" s="67">
        <f>IF($C167="","",IF(INDEX(AM_Cat,MATCH($C167,AM_Type,0))="SLABONLY","SLAB",IF($K167="","",IF($K167="STCG",IF(INDEX(AM_Cat,MATCH($C167,AM_Type,0))="EQ","EQ-ST","SLAB"),IF(INDEX(AM_Cat,MATCH($C167,AM_Type,0))="EQ","EQ-LT",IF(INDEX(AM_Cat,MATCH($C167,AM_Type,0))="PROP","PROP-LT","FLAT-LT"))))))</f>
        <v/>
      </c>
      <c r="Q167" s="71">
        <f>IF($C167="","",IF($P167="","",IF($P167="EQ-LT","pooled",IF($P167="EQ-ST",MAX(0,0.2*$O167),IF($P167="PROP-LT",IF($M167="",MAX(0,0.125*$O167),MAX(0,MIN(0.125*$O167,0.2*($L167-$M167)))),IF($P167="FLAT-LT",MAX(0,0.125*$O167),IF($P167="SLAB",MAX(0,Slab_Rate*$O167),"")))))))</f>
        <v/>
      </c>
    </row>
    <row r="168" ht="15" customHeight="1" s="37">
      <c r="A168" s="72">
        <f>IF($C168="","",ROW()-8)</f>
        <v/>
      </c>
      <c r="B168" s="75" t="n"/>
      <c r="C168" s="75" t="n"/>
      <c r="D168" s="76" t="n"/>
      <c r="E168" s="76" t="n"/>
      <c r="F168" s="77" t="n"/>
      <c r="G168" s="77" t="n"/>
      <c r="H168" s="77" t="n"/>
      <c r="I168" s="77" t="n"/>
      <c r="J168" s="72">
        <f>IF(OR($C168="",NOT(ISNUMBER($D168)),NOT(ISNUMBER($E168))),"",DATEDIF($D168,$E168,"m"))</f>
        <v/>
      </c>
      <c r="K168" s="72">
        <f>IF(OR($C168="",NOT(ISNUMBER($D168)),NOT(ISNUMBER($E168))),"",IF($E168&gt;EDATE($D168,INDEX(AM_LTm,MATCH($C168,AM_Type,0))),"LTCG","STCG"))</f>
        <v/>
      </c>
      <c r="L168" s="74">
        <f>IF($C168="","",$G168-$H168)</f>
        <v/>
      </c>
      <c r="M168" s="74">
        <f>IF(OR($C168="",NOT(ISNUMBER($D168)),NOT(ISNUMBER($E168))),"",IF(AND(INDEX(AM_Index,MATCH($C168,AM_Type,0))=1,$K168="LTCG",$D168&lt;DATE(2024,7,23),Resident="Yes"),$F168*INDEX(CII_Val,MATCH(IF(MONTH($E168)&gt;=4,YEAR($E168),YEAR($E168)-1),CII_Year,0))/INDEX(CII_Val,MATCH(MAX(2001,IF(MONTH($D168)&gt;=4,YEAR($D168),YEAR($D168)-1)),CII_Year,0)),""))</f>
        <v/>
      </c>
      <c r="N168" s="74">
        <f>IF($C168="","",IF(AND(INDEX(AM_Grand,MATCH($C168,AM_Type,0))=1,$K168="LTCG",ISNUMBER($D168),$D168&lt;DATE(2018,2,1),$I168&lt;&gt;""),MAX($F168,MIN($I168,$G168)),$F168))</f>
        <v/>
      </c>
      <c r="O168" s="74">
        <f>IF($C168="","",$L168-$N168)</f>
        <v/>
      </c>
      <c r="P168" s="72">
        <f>IF($C168="","",IF(INDEX(AM_Cat,MATCH($C168,AM_Type,0))="SLABONLY","SLAB",IF($K168="","",IF($K168="STCG",IF(INDEX(AM_Cat,MATCH($C168,AM_Type,0))="EQ","EQ-ST","SLAB"),IF(INDEX(AM_Cat,MATCH($C168,AM_Type,0))="EQ","EQ-LT",IF(INDEX(AM_Cat,MATCH($C168,AM_Type,0))="PROP","PROP-LT","FLAT-LT"))))))</f>
        <v/>
      </c>
      <c r="Q168" s="74">
        <f>IF($C168="","",IF($P168="","",IF($P168="EQ-LT","pooled",IF($P168="EQ-ST",MAX(0,0.2*$O168),IF($P168="PROP-LT",IF($M168="",MAX(0,0.125*$O168),MAX(0,MIN(0.125*$O168,0.2*($L168-$M168)))),IF($P168="FLAT-LT",MAX(0,0.125*$O168),IF($P168="SLAB",MAX(0,Slab_Rate*$O168),"")))))))</f>
        <v/>
      </c>
    </row>
    <row r="169" ht="15" customHeight="1" s="37">
      <c r="A169" s="67">
        <f>IF($C169="","",ROW()-8)</f>
        <v/>
      </c>
      <c r="B169" s="75" t="n"/>
      <c r="C169" s="75" t="n"/>
      <c r="D169" s="76" t="n"/>
      <c r="E169" s="76" t="n"/>
      <c r="F169" s="77" t="n"/>
      <c r="G169" s="77" t="n"/>
      <c r="H169" s="77" t="n"/>
      <c r="I169" s="77" t="n"/>
      <c r="J169" s="67">
        <f>IF(OR($C169="",NOT(ISNUMBER($D169)),NOT(ISNUMBER($E169))),"",DATEDIF($D169,$E169,"m"))</f>
        <v/>
      </c>
      <c r="K169" s="67">
        <f>IF(OR($C169="",NOT(ISNUMBER($D169)),NOT(ISNUMBER($E169))),"",IF($E169&gt;EDATE($D169,INDEX(AM_LTm,MATCH($C169,AM_Type,0))),"LTCG","STCG"))</f>
        <v/>
      </c>
      <c r="L169" s="71">
        <f>IF($C169="","",$G169-$H169)</f>
        <v/>
      </c>
      <c r="M169" s="71">
        <f>IF(OR($C169="",NOT(ISNUMBER($D169)),NOT(ISNUMBER($E169))),"",IF(AND(INDEX(AM_Index,MATCH($C169,AM_Type,0))=1,$K169="LTCG",$D169&lt;DATE(2024,7,23),Resident="Yes"),$F169*INDEX(CII_Val,MATCH(IF(MONTH($E169)&gt;=4,YEAR($E169),YEAR($E169)-1),CII_Year,0))/INDEX(CII_Val,MATCH(MAX(2001,IF(MONTH($D169)&gt;=4,YEAR($D169),YEAR($D169)-1)),CII_Year,0)),""))</f>
        <v/>
      </c>
      <c r="N169" s="71">
        <f>IF($C169="","",IF(AND(INDEX(AM_Grand,MATCH($C169,AM_Type,0))=1,$K169="LTCG",ISNUMBER($D169),$D169&lt;DATE(2018,2,1),$I169&lt;&gt;""),MAX($F169,MIN($I169,$G169)),$F169))</f>
        <v/>
      </c>
      <c r="O169" s="71">
        <f>IF($C169="","",$L169-$N169)</f>
        <v/>
      </c>
      <c r="P169" s="67">
        <f>IF($C169="","",IF(INDEX(AM_Cat,MATCH($C169,AM_Type,0))="SLABONLY","SLAB",IF($K169="","",IF($K169="STCG",IF(INDEX(AM_Cat,MATCH($C169,AM_Type,0))="EQ","EQ-ST","SLAB"),IF(INDEX(AM_Cat,MATCH($C169,AM_Type,0))="EQ","EQ-LT",IF(INDEX(AM_Cat,MATCH($C169,AM_Type,0))="PROP","PROP-LT","FLAT-LT"))))))</f>
        <v/>
      </c>
      <c r="Q169" s="71">
        <f>IF($C169="","",IF($P169="","",IF($P169="EQ-LT","pooled",IF($P169="EQ-ST",MAX(0,0.2*$O169),IF($P169="PROP-LT",IF($M169="",MAX(0,0.125*$O169),MAX(0,MIN(0.125*$O169,0.2*($L169-$M169)))),IF($P169="FLAT-LT",MAX(0,0.125*$O169),IF($P169="SLAB",MAX(0,Slab_Rate*$O169),"")))))))</f>
        <v/>
      </c>
    </row>
    <row r="170" ht="15" customHeight="1" s="37">
      <c r="A170" s="72">
        <f>IF($C170="","",ROW()-8)</f>
        <v/>
      </c>
      <c r="B170" s="75" t="n"/>
      <c r="C170" s="75" t="n"/>
      <c r="D170" s="76" t="n"/>
      <c r="E170" s="76" t="n"/>
      <c r="F170" s="77" t="n"/>
      <c r="G170" s="77" t="n"/>
      <c r="H170" s="77" t="n"/>
      <c r="I170" s="77" t="n"/>
      <c r="J170" s="72">
        <f>IF(OR($C170="",NOT(ISNUMBER($D170)),NOT(ISNUMBER($E170))),"",DATEDIF($D170,$E170,"m"))</f>
        <v/>
      </c>
      <c r="K170" s="72">
        <f>IF(OR($C170="",NOT(ISNUMBER($D170)),NOT(ISNUMBER($E170))),"",IF($E170&gt;EDATE($D170,INDEX(AM_LTm,MATCH($C170,AM_Type,0))),"LTCG","STCG"))</f>
        <v/>
      </c>
      <c r="L170" s="74">
        <f>IF($C170="","",$G170-$H170)</f>
        <v/>
      </c>
      <c r="M170" s="74">
        <f>IF(OR($C170="",NOT(ISNUMBER($D170)),NOT(ISNUMBER($E170))),"",IF(AND(INDEX(AM_Index,MATCH($C170,AM_Type,0))=1,$K170="LTCG",$D170&lt;DATE(2024,7,23),Resident="Yes"),$F170*INDEX(CII_Val,MATCH(IF(MONTH($E170)&gt;=4,YEAR($E170),YEAR($E170)-1),CII_Year,0))/INDEX(CII_Val,MATCH(MAX(2001,IF(MONTH($D170)&gt;=4,YEAR($D170),YEAR($D170)-1)),CII_Year,0)),""))</f>
        <v/>
      </c>
      <c r="N170" s="74">
        <f>IF($C170="","",IF(AND(INDEX(AM_Grand,MATCH($C170,AM_Type,0))=1,$K170="LTCG",ISNUMBER($D170),$D170&lt;DATE(2018,2,1),$I170&lt;&gt;""),MAX($F170,MIN($I170,$G170)),$F170))</f>
        <v/>
      </c>
      <c r="O170" s="74">
        <f>IF($C170="","",$L170-$N170)</f>
        <v/>
      </c>
      <c r="P170" s="72">
        <f>IF($C170="","",IF(INDEX(AM_Cat,MATCH($C170,AM_Type,0))="SLABONLY","SLAB",IF($K170="","",IF($K170="STCG",IF(INDEX(AM_Cat,MATCH($C170,AM_Type,0))="EQ","EQ-ST","SLAB"),IF(INDEX(AM_Cat,MATCH($C170,AM_Type,0))="EQ","EQ-LT",IF(INDEX(AM_Cat,MATCH($C170,AM_Type,0))="PROP","PROP-LT","FLAT-LT"))))))</f>
        <v/>
      </c>
      <c r="Q170" s="74">
        <f>IF($C170="","",IF($P170="","",IF($P170="EQ-LT","pooled",IF($P170="EQ-ST",MAX(0,0.2*$O170),IF($P170="PROP-LT",IF($M170="",MAX(0,0.125*$O170),MAX(0,MIN(0.125*$O170,0.2*($L170-$M170)))),IF($P170="FLAT-LT",MAX(0,0.125*$O170),IF($P170="SLAB",MAX(0,Slab_Rate*$O170),"")))))))</f>
        <v/>
      </c>
    </row>
    <row r="171" ht="15" customHeight="1" s="37">
      <c r="A171" s="67">
        <f>IF($C171="","",ROW()-8)</f>
        <v/>
      </c>
      <c r="B171" s="75" t="n"/>
      <c r="C171" s="75" t="n"/>
      <c r="D171" s="76" t="n"/>
      <c r="E171" s="76" t="n"/>
      <c r="F171" s="77" t="n"/>
      <c r="G171" s="77" t="n"/>
      <c r="H171" s="77" t="n"/>
      <c r="I171" s="77" t="n"/>
      <c r="J171" s="67">
        <f>IF(OR($C171="",NOT(ISNUMBER($D171)),NOT(ISNUMBER($E171))),"",DATEDIF($D171,$E171,"m"))</f>
        <v/>
      </c>
      <c r="K171" s="67">
        <f>IF(OR($C171="",NOT(ISNUMBER($D171)),NOT(ISNUMBER($E171))),"",IF($E171&gt;EDATE($D171,INDEX(AM_LTm,MATCH($C171,AM_Type,0))),"LTCG","STCG"))</f>
        <v/>
      </c>
      <c r="L171" s="71">
        <f>IF($C171="","",$G171-$H171)</f>
        <v/>
      </c>
      <c r="M171" s="71">
        <f>IF(OR($C171="",NOT(ISNUMBER($D171)),NOT(ISNUMBER($E171))),"",IF(AND(INDEX(AM_Index,MATCH($C171,AM_Type,0))=1,$K171="LTCG",$D171&lt;DATE(2024,7,23),Resident="Yes"),$F171*INDEX(CII_Val,MATCH(IF(MONTH($E171)&gt;=4,YEAR($E171),YEAR($E171)-1),CII_Year,0))/INDEX(CII_Val,MATCH(MAX(2001,IF(MONTH($D171)&gt;=4,YEAR($D171),YEAR($D171)-1)),CII_Year,0)),""))</f>
        <v/>
      </c>
      <c r="N171" s="71">
        <f>IF($C171="","",IF(AND(INDEX(AM_Grand,MATCH($C171,AM_Type,0))=1,$K171="LTCG",ISNUMBER($D171),$D171&lt;DATE(2018,2,1),$I171&lt;&gt;""),MAX($F171,MIN($I171,$G171)),$F171))</f>
        <v/>
      </c>
      <c r="O171" s="71">
        <f>IF($C171="","",$L171-$N171)</f>
        <v/>
      </c>
      <c r="P171" s="67">
        <f>IF($C171="","",IF(INDEX(AM_Cat,MATCH($C171,AM_Type,0))="SLABONLY","SLAB",IF($K171="","",IF($K171="STCG",IF(INDEX(AM_Cat,MATCH($C171,AM_Type,0))="EQ","EQ-ST","SLAB"),IF(INDEX(AM_Cat,MATCH($C171,AM_Type,0))="EQ","EQ-LT",IF(INDEX(AM_Cat,MATCH($C171,AM_Type,0))="PROP","PROP-LT","FLAT-LT"))))))</f>
        <v/>
      </c>
      <c r="Q171" s="71">
        <f>IF($C171="","",IF($P171="","",IF($P171="EQ-LT","pooled",IF($P171="EQ-ST",MAX(0,0.2*$O171),IF($P171="PROP-LT",IF($M171="",MAX(0,0.125*$O171),MAX(0,MIN(0.125*$O171,0.2*($L171-$M171)))),IF($P171="FLAT-LT",MAX(0,0.125*$O171),IF($P171="SLAB",MAX(0,Slab_Rate*$O171),"")))))))</f>
        <v/>
      </c>
    </row>
    <row r="172" ht="15" customHeight="1" s="37">
      <c r="A172" s="72">
        <f>IF($C172="","",ROW()-8)</f>
        <v/>
      </c>
      <c r="B172" s="75" t="n"/>
      <c r="C172" s="75" t="n"/>
      <c r="D172" s="76" t="n"/>
      <c r="E172" s="76" t="n"/>
      <c r="F172" s="77" t="n"/>
      <c r="G172" s="77" t="n"/>
      <c r="H172" s="77" t="n"/>
      <c r="I172" s="77" t="n"/>
      <c r="J172" s="72">
        <f>IF(OR($C172="",NOT(ISNUMBER($D172)),NOT(ISNUMBER($E172))),"",DATEDIF($D172,$E172,"m"))</f>
        <v/>
      </c>
      <c r="K172" s="72">
        <f>IF(OR($C172="",NOT(ISNUMBER($D172)),NOT(ISNUMBER($E172))),"",IF($E172&gt;EDATE($D172,INDEX(AM_LTm,MATCH($C172,AM_Type,0))),"LTCG","STCG"))</f>
        <v/>
      </c>
      <c r="L172" s="74">
        <f>IF($C172="","",$G172-$H172)</f>
        <v/>
      </c>
      <c r="M172" s="74">
        <f>IF(OR($C172="",NOT(ISNUMBER($D172)),NOT(ISNUMBER($E172))),"",IF(AND(INDEX(AM_Index,MATCH($C172,AM_Type,0))=1,$K172="LTCG",$D172&lt;DATE(2024,7,23),Resident="Yes"),$F172*INDEX(CII_Val,MATCH(IF(MONTH($E172)&gt;=4,YEAR($E172),YEAR($E172)-1),CII_Year,0))/INDEX(CII_Val,MATCH(MAX(2001,IF(MONTH($D172)&gt;=4,YEAR($D172),YEAR($D172)-1)),CII_Year,0)),""))</f>
        <v/>
      </c>
      <c r="N172" s="74">
        <f>IF($C172="","",IF(AND(INDEX(AM_Grand,MATCH($C172,AM_Type,0))=1,$K172="LTCG",ISNUMBER($D172),$D172&lt;DATE(2018,2,1),$I172&lt;&gt;""),MAX($F172,MIN($I172,$G172)),$F172))</f>
        <v/>
      </c>
      <c r="O172" s="74">
        <f>IF($C172="","",$L172-$N172)</f>
        <v/>
      </c>
      <c r="P172" s="72">
        <f>IF($C172="","",IF(INDEX(AM_Cat,MATCH($C172,AM_Type,0))="SLABONLY","SLAB",IF($K172="","",IF($K172="STCG",IF(INDEX(AM_Cat,MATCH($C172,AM_Type,0))="EQ","EQ-ST","SLAB"),IF(INDEX(AM_Cat,MATCH($C172,AM_Type,0))="EQ","EQ-LT",IF(INDEX(AM_Cat,MATCH($C172,AM_Type,0))="PROP","PROP-LT","FLAT-LT"))))))</f>
        <v/>
      </c>
      <c r="Q172" s="74">
        <f>IF($C172="","",IF($P172="","",IF($P172="EQ-LT","pooled",IF($P172="EQ-ST",MAX(0,0.2*$O172),IF($P172="PROP-LT",IF($M172="",MAX(0,0.125*$O172),MAX(0,MIN(0.125*$O172,0.2*($L172-$M172)))),IF($P172="FLAT-LT",MAX(0,0.125*$O172),IF($P172="SLAB",MAX(0,Slab_Rate*$O172),"")))))))</f>
        <v/>
      </c>
    </row>
    <row r="173" ht="15" customHeight="1" s="37">
      <c r="A173" s="67">
        <f>IF($C173="","",ROW()-8)</f>
        <v/>
      </c>
      <c r="B173" s="75" t="n"/>
      <c r="C173" s="75" t="n"/>
      <c r="D173" s="76" t="n"/>
      <c r="E173" s="76" t="n"/>
      <c r="F173" s="77" t="n"/>
      <c r="G173" s="77" t="n"/>
      <c r="H173" s="77" t="n"/>
      <c r="I173" s="77" t="n"/>
      <c r="J173" s="67">
        <f>IF(OR($C173="",NOT(ISNUMBER($D173)),NOT(ISNUMBER($E173))),"",DATEDIF($D173,$E173,"m"))</f>
        <v/>
      </c>
      <c r="K173" s="67">
        <f>IF(OR($C173="",NOT(ISNUMBER($D173)),NOT(ISNUMBER($E173))),"",IF($E173&gt;EDATE($D173,INDEX(AM_LTm,MATCH($C173,AM_Type,0))),"LTCG","STCG"))</f>
        <v/>
      </c>
      <c r="L173" s="71">
        <f>IF($C173="","",$G173-$H173)</f>
        <v/>
      </c>
      <c r="M173" s="71">
        <f>IF(OR($C173="",NOT(ISNUMBER($D173)),NOT(ISNUMBER($E173))),"",IF(AND(INDEX(AM_Index,MATCH($C173,AM_Type,0))=1,$K173="LTCG",$D173&lt;DATE(2024,7,23),Resident="Yes"),$F173*INDEX(CII_Val,MATCH(IF(MONTH($E173)&gt;=4,YEAR($E173),YEAR($E173)-1),CII_Year,0))/INDEX(CII_Val,MATCH(MAX(2001,IF(MONTH($D173)&gt;=4,YEAR($D173),YEAR($D173)-1)),CII_Year,0)),""))</f>
        <v/>
      </c>
      <c r="N173" s="71">
        <f>IF($C173="","",IF(AND(INDEX(AM_Grand,MATCH($C173,AM_Type,0))=1,$K173="LTCG",ISNUMBER($D173),$D173&lt;DATE(2018,2,1),$I173&lt;&gt;""),MAX($F173,MIN($I173,$G173)),$F173))</f>
        <v/>
      </c>
      <c r="O173" s="71">
        <f>IF($C173="","",$L173-$N173)</f>
        <v/>
      </c>
      <c r="P173" s="67">
        <f>IF($C173="","",IF(INDEX(AM_Cat,MATCH($C173,AM_Type,0))="SLABONLY","SLAB",IF($K173="","",IF($K173="STCG",IF(INDEX(AM_Cat,MATCH($C173,AM_Type,0))="EQ","EQ-ST","SLAB"),IF(INDEX(AM_Cat,MATCH($C173,AM_Type,0))="EQ","EQ-LT",IF(INDEX(AM_Cat,MATCH($C173,AM_Type,0))="PROP","PROP-LT","FLAT-LT"))))))</f>
        <v/>
      </c>
      <c r="Q173" s="71">
        <f>IF($C173="","",IF($P173="","",IF($P173="EQ-LT","pooled",IF($P173="EQ-ST",MAX(0,0.2*$O173),IF($P173="PROP-LT",IF($M173="",MAX(0,0.125*$O173),MAX(0,MIN(0.125*$O173,0.2*($L173-$M173)))),IF($P173="FLAT-LT",MAX(0,0.125*$O173),IF($P173="SLAB",MAX(0,Slab_Rate*$O173),"")))))))</f>
        <v/>
      </c>
    </row>
    <row r="174" ht="15" customHeight="1" s="37">
      <c r="A174" s="72">
        <f>IF($C174="","",ROW()-8)</f>
        <v/>
      </c>
      <c r="B174" s="75" t="n"/>
      <c r="C174" s="75" t="n"/>
      <c r="D174" s="76" t="n"/>
      <c r="E174" s="76" t="n"/>
      <c r="F174" s="77" t="n"/>
      <c r="G174" s="77" t="n"/>
      <c r="H174" s="77" t="n"/>
      <c r="I174" s="77" t="n"/>
      <c r="J174" s="72">
        <f>IF(OR($C174="",NOT(ISNUMBER($D174)),NOT(ISNUMBER($E174))),"",DATEDIF($D174,$E174,"m"))</f>
        <v/>
      </c>
      <c r="K174" s="72">
        <f>IF(OR($C174="",NOT(ISNUMBER($D174)),NOT(ISNUMBER($E174))),"",IF($E174&gt;EDATE($D174,INDEX(AM_LTm,MATCH($C174,AM_Type,0))),"LTCG","STCG"))</f>
        <v/>
      </c>
      <c r="L174" s="74">
        <f>IF($C174="","",$G174-$H174)</f>
        <v/>
      </c>
      <c r="M174" s="74">
        <f>IF(OR($C174="",NOT(ISNUMBER($D174)),NOT(ISNUMBER($E174))),"",IF(AND(INDEX(AM_Index,MATCH($C174,AM_Type,0))=1,$K174="LTCG",$D174&lt;DATE(2024,7,23),Resident="Yes"),$F174*INDEX(CII_Val,MATCH(IF(MONTH($E174)&gt;=4,YEAR($E174),YEAR($E174)-1),CII_Year,0))/INDEX(CII_Val,MATCH(MAX(2001,IF(MONTH($D174)&gt;=4,YEAR($D174),YEAR($D174)-1)),CII_Year,0)),""))</f>
        <v/>
      </c>
      <c r="N174" s="74">
        <f>IF($C174="","",IF(AND(INDEX(AM_Grand,MATCH($C174,AM_Type,0))=1,$K174="LTCG",ISNUMBER($D174),$D174&lt;DATE(2018,2,1),$I174&lt;&gt;""),MAX($F174,MIN($I174,$G174)),$F174))</f>
        <v/>
      </c>
      <c r="O174" s="74">
        <f>IF($C174="","",$L174-$N174)</f>
        <v/>
      </c>
      <c r="P174" s="72">
        <f>IF($C174="","",IF(INDEX(AM_Cat,MATCH($C174,AM_Type,0))="SLABONLY","SLAB",IF($K174="","",IF($K174="STCG",IF(INDEX(AM_Cat,MATCH($C174,AM_Type,0))="EQ","EQ-ST","SLAB"),IF(INDEX(AM_Cat,MATCH($C174,AM_Type,0))="EQ","EQ-LT",IF(INDEX(AM_Cat,MATCH($C174,AM_Type,0))="PROP","PROP-LT","FLAT-LT"))))))</f>
        <v/>
      </c>
      <c r="Q174" s="74">
        <f>IF($C174="","",IF($P174="","",IF($P174="EQ-LT","pooled",IF($P174="EQ-ST",MAX(0,0.2*$O174),IF($P174="PROP-LT",IF($M174="",MAX(0,0.125*$O174),MAX(0,MIN(0.125*$O174,0.2*($L174-$M174)))),IF($P174="FLAT-LT",MAX(0,0.125*$O174),IF($P174="SLAB",MAX(0,Slab_Rate*$O174),"")))))))</f>
        <v/>
      </c>
    </row>
    <row r="175" ht="15" customHeight="1" s="37">
      <c r="A175" s="67">
        <f>IF($C175="","",ROW()-8)</f>
        <v/>
      </c>
      <c r="B175" s="75" t="n"/>
      <c r="C175" s="75" t="n"/>
      <c r="D175" s="76" t="n"/>
      <c r="E175" s="76" t="n"/>
      <c r="F175" s="77" t="n"/>
      <c r="G175" s="77" t="n"/>
      <c r="H175" s="77" t="n"/>
      <c r="I175" s="77" t="n"/>
      <c r="J175" s="67">
        <f>IF(OR($C175="",NOT(ISNUMBER($D175)),NOT(ISNUMBER($E175))),"",DATEDIF($D175,$E175,"m"))</f>
        <v/>
      </c>
      <c r="K175" s="67">
        <f>IF(OR($C175="",NOT(ISNUMBER($D175)),NOT(ISNUMBER($E175))),"",IF($E175&gt;EDATE($D175,INDEX(AM_LTm,MATCH($C175,AM_Type,0))),"LTCG","STCG"))</f>
        <v/>
      </c>
      <c r="L175" s="71">
        <f>IF($C175="","",$G175-$H175)</f>
        <v/>
      </c>
      <c r="M175" s="71">
        <f>IF(OR($C175="",NOT(ISNUMBER($D175)),NOT(ISNUMBER($E175))),"",IF(AND(INDEX(AM_Index,MATCH($C175,AM_Type,0))=1,$K175="LTCG",$D175&lt;DATE(2024,7,23),Resident="Yes"),$F175*INDEX(CII_Val,MATCH(IF(MONTH($E175)&gt;=4,YEAR($E175),YEAR($E175)-1),CII_Year,0))/INDEX(CII_Val,MATCH(MAX(2001,IF(MONTH($D175)&gt;=4,YEAR($D175),YEAR($D175)-1)),CII_Year,0)),""))</f>
        <v/>
      </c>
      <c r="N175" s="71">
        <f>IF($C175="","",IF(AND(INDEX(AM_Grand,MATCH($C175,AM_Type,0))=1,$K175="LTCG",ISNUMBER($D175),$D175&lt;DATE(2018,2,1),$I175&lt;&gt;""),MAX($F175,MIN($I175,$G175)),$F175))</f>
        <v/>
      </c>
      <c r="O175" s="71">
        <f>IF($C175="","",$L175-$N175)</f>
        <v/>
      </c>
      <c r="P175" s="67">
        <f>IF($C175="","",IF(INDEX(AM_Cat,MATCH($C175,AM_Type,0))="SLABONLY","SLAB",IF($K175="","",IF($K175="STCG",IF(INDEX(AM_Cat,MATCH($C175,AM_Type,0))="EQ","EQ-ST","SLAB"),IF(INDEX(AM_Cat,MATCH($C175,AM_Type,0))="EQ","EQ-LT",IF(INDEX(AM_Cat,MATCH($C175,AM_Type,0))="PROP","PROP-LT","FLAT-LT"))))))</f>
        <v/>
      </c>
      <c r="Q175" s="71">
        <f>IF($C175="","",IF($P175="","",IF($P175="EQ-LT","pooled",IF($P175="EQ-ST",MAX(0,0.2*$O175),IF($P175="PROP-LT",IF($M175="",MAX(0,0.125*$O175),MAX(0,MIN(0.125*$O175,0.2*($L175-$M175)))),IF($P175="FLAT-LT",MAX(0,0.125*$O175),IF($P175="SLAB",MAX(0,Slab_Rate*$O175),"")))))))</f>
        <v/>
      </c>
    </row>
    <row r="176" ht="15" customHeight="1" s="37">
      <c r="A176" s="72">
        <f>IF($C176="","",ROW()-8)</f>
        <v/>
      </c>
      <c r="B176" s="75" t="n"/>
      <c r="C176" s="75" t="n"/>
      <c r="D176" s="76" t="n"/>
      <c r="E176" s="76" t="n"/>
      <c r="F176" s="77" t="n"/>
      <c r="G176" s="77" t="n"/>
      <c r="H176" s="77" t="n"/>
      <c r="I176" s="77" t="n"/>
      <c r="J176" s="72">
        <f>IF(OR($C176="",NOT(ISNUMBER($D176)),NOT(ISNUMBER($E176))),"",DATEDIF($D176,$E176,"m"))</f>
        <v/>
      </c>
      <c r="K176" s="72">
        <f>IF(OR($C176="",NOT(ISNUMBER($D176)),NOT(ISNUMBER($E176))),"",IF($E176&gt;EDATE($D176,INDEX(AM_LTm,MATCH($C176,AM_Type,0))),"LTCG","STCG"))</f>
        <v/>
      </c>
      <c r="L176" s="74">
        <f>IF($C176="","",$G176-$H176)</f>
        <v/>
      </c>
      <c r="M176" s="74">
        <f>IF(OR($C176="",NOT(ISNUMBER($D176)),NOT(ISNUMBER($E176))),"",IF(AND(INDEX(AM_Index,MATCH($C176,AM_Type,0))=1,$K176="LTCG",$D176&lt;DATE(2024,7,23),Resident="Yes"),$F176*INDEX(CII_Val,MATCH(IF(MONTH($E176)&gt;=4,YEAR($E176),YEAR($E176)-1),CII_Year,0))/INDEX(CII_Val,MATCH(MAX(2001,IF(MONTH($D176)&gt;=4,YEAR($D176),YEAR($D176)-1)),CII_Year,0)),""))</f>
        <v/>
      </c>
      <c r="N176" s="74">
        <f>IF($C176="","",IF(AND(INDEX(AM_Grand,MATCH($C176,AM_Type,0))=1,$K176="LTCG",ISNUMBER($D176),$D176&lt;DATE(2018,2,1),$I176&lt;&gt;""),MAX($F176,MIN($I176,$G176)),$F176))</f>
        <v/>
      </c>
      <c r="O176" s="74">
        <f>IF($C176="","",$L176-$N176)</f>
        <v/>
      </c>
      <c r="P176" s="72">
        <f>IF($C176="","",IF(INDEX(AM_Cat,MATCH($C176,AM_Type,0))="SLABONLY","SLAB",IF($K176="","",IF($K176="STCG",IF(INDEX(AM_Cat,MATCH($C176,AM_Type,0))="EQ","EQ-ST","SLAB"),IF(INDEX(AM_Cat,MATCH($C176,AM_Type,0))="EQ","EQ-LT",IF(INDEX(AM_Cat,MATCH($C176,AM_Type,0))="PROP","PROP-LT","FLAT-LT"))))))</f>
        <v/>
      </c>
      <c r="Q176" s="74">
        <f>IF($C176="","",IF($P176="","",IF($P176="EQ-LT","pooled",IF($P176="EQ-ST",MAX(0,0.2*$O176),IF($P176="PROP-LT",IF($M176="",MAX(0,0.125*$O176),MAX(0,MIN(0.125*$O176,0.2*($L176-$M176)))),IF($P176="FLAT-LT",MAX(0,0.125*$O176),IF($P176="SLAB",MAX(0,Slab_Rate*$O176),"")))))))</f>
        <v/>
      </c>
    </row>
    <row r="177" ht="15" customHeight="1" s="37">
      <c r="A177" s="67">
        <f>IF($C177="","",ROW()-8)</f>
        <v/>
      </c>
      <c r="B177" s="75" t="n"/>
      <c r="C177" s="75" t="n"/>
      <c r="D177" s="76" t="n"/>
      <c r="E177" s="76" t="n"/>
      <c r="F177" s="77" t="n"/>
      <c r="G177" s="77" t="n"/>
      <c r="H177" s="77" t="n"/>
      <c r="I177" s="77" t="n"/>
      <c r="J177" s="67">
        <f>IF(OR($C177="",NOT(ISNUMBER($D177)),NOT(ISNUMBER($E177))),"",DATEDIF($D177,$E177,"m"))</f>
        <v/>
      </c>
      <c r="K177" s="67">
        <f>IF(OR($C177="",NOT(ISNUMBER($D177)),NOT(ISNUMBER($E177))),"",IF($E177&gt;EDATE($D177,INDEX(AM_LTm,MATCH($C177,AM_Type,0))),"LTCG","STCG"))</f>
        <v/>
      </c>
      <c r="L177" s="71">
        <f>IF($C177="","",$G177-$H177)</f>
        <v/>
      </c>
      <c r="M177" s="71">
        <f>IF(OR($C177="",NOT(ISNUMBER($D177)),NOT(ISNUMBER($E177))),"",IF(AND(INDEX(AM_Index,MATCH($C177,AM_Type,0))=1,$K177="LTCG",$D177&lt;DATE(2024,7,23),Resident="Yes"),$F177*INDEX(CII_Val,MATCH(IF(MONTH($E177)&gt;=4,YEAR($E177),YEAR($E177)-1),CII_Year,0))/INDEX(CII_Val,MATCH(MAX(2001,IF(MONTH($D177)&gt;=4,YEAR($D177),YEAR($D177)-1)),CII_Year,0)),""))</f>
        <v/>
      </c>
      <c r="N177" s="71">
        <f>IF($C177="","",IF(AND(INDEX(AM_Grand,MATCH($C177,AM_Type,0))=1,$K177="LTCG",ISNUMBER($D177),$D177&lt;DATE(2018,2,1),$I177&lt;&gt;""),MAX($F177,MIN($I177,$G177)),$F177))</f>
        <v/>
      </c>
      <c r="O177" s="71">
        <f>IF($C177="","",$L177-$N177)</f>
        <v/>
      </c>
      <c r="P177" s="67">
        <f>IF($C177="","",IF(INDEX(AM_Cat,MATCH($C177,AM_Type,0))="SLABONLY","SLAB",IF($K177="","",IF($K177="STCG",IF(INDEX(AM_Cat,MATCH($C177,AM_Type,0))="EQ","EQ-ST","SLAB"),IF(INDEX(AM_Cat,MATCH($C177,AM_Type,0))="EQ","EQ-LT",IF(INDEX(AM_Cat,MATCH($C177,AM_Type,0))="PROP","PROP-LT","FLAT-LT"))))))</f>
        <v/>
      </c>
      <c r="Q177" s="71">
        <f>IF($C177="","",IF($P177="","",IF($P177="EQ-LT","pooled",IF($P177="EQ-ST",MAX(0,0.2*$O177),IF($P177="PROP-LT",IF($M177="",MAX(0,0.125*$O177),MAX(0,MIN(0.125*$O177,0.2*($L177-$M177)))),IF($P177="FLAT-LT",MAX(0,0.125*$O177),IF($P177="SLAB",MAX(0,Slab_Rate*$O177),"")))))))</f>
        <v/>
      </c>
    </row>
    <row r="178" ht="15" customHeight="1" s="37">
      <c r="A178" s="72">
        <f>IF($C178="","",ROW()-8)</f>
        <v/>
      </c>
      <c r="B178" s="75" t="n"/>
      <c r="C178" s="75" t="n"/>
      <c r="D178" s="76" t="n"/>
      <c r="E178" s="76" t="n"/>
      <c r="F178" s="77" t="n"/>
      <c r="G178" s="77" t="n"/>
      <c r="H178" s="77" t="n"/>
      <c r="I178" s="77" t="n"/>
      <c r="J178" s="72">
        <f>IF(OR($C178="",NOT(ISNUMBER($D178)),NOT(ISNUMBER($E178))),"",DATEDIF($D178,$E178,"m"))</f>
        <v/>
      </c>
      <c r="K178" s="72">
        <f>IF(OR($C178="",NOT(ISNUMBER($D178)),NOT(ISNUMBER($E178))),"",IF($E178&gt;EDATE($D178,INDEX(AM_LTm,MATCH($C178,AM_Type,0))),"LTCG","STCG"))</f>
        <v/>
      </c>
      <c r="L178" s="74">
        <f>IF($C178="","",$G178-$H178)</f>
        <v/>
      </c>
      <c r="M178" s="74">
        <f>IF(OR($C178="",NOT(ISNUMBER($D178)),NOT(ISNUMBER($E178))),"",IF(AND(INDEX(AM_Index,MATCH($C178,AM_Type,0))=1,$K178="LTCG",$D178&lt;DATE(2024,7,23),Resident="Yes"),$F178*INDEX(CII_Val,MATCH(IF(MONTH($E178)&gt;=4,YEAR($E178),YEAR($E178)-1),CII_Year,0))/INDEX(CII_Val,MATCH(MAX(2001,IF(MONTH($D178)&gt;=4,YEAR($D178),YEAR($D178)-1)),CII_Year,0)),""))</f>
        <v/>
      </c>
      <c r="N178" s="74">
        <f>IF($C178="","",IF(AND(INDEX(AM_Grand,MATCH($C178,AM_Type,0))=1,$K178="LTCG",ISNUMBER($D178),$D178&lt;DATE(2018,2,1),$I178&lt;&gt;""),MAX($F178,MIN($I178,$G178)),$F178))</f>
        <v/>
      </c>
      <c r="O178" s="74">
        <f>IF($C178="","",$L178-$N178)</f>
        <v/>
      </c>
      <c r="P178" s="72">
        <f>IF($C178="","",IF(INDEX(AM_Cat,MATCH($C178,AM_Type,0))="SLABONLY","SLAB",IF($K178="","",IF($K178="STCG",IF(INDEX(AM_Cat,MATCH($C178,AM_Type,0))="EQ","EQ-ST","SLAB"),IF(INDEX(AM_Cat,MATCH($C178,AM_Type,0))="EQ","EQ-LT",IF(INDEX(AM_Cat,MATCH($C178,AM_Type,0))="PROP","PROP-LT","FLAT-LT"))))))</f>
        <v/>
      </c>
      <c r="Q178" s="74">
        <f>IF($C178="","",IF($P178="","",IF($P178="EQ-LT","pooled",IF($P178="EQ-ST",MAX(0,0.2*$O178),IF($P178="PROP-LT",IF($M178="",MAX(0,0.125*$O178),MAX(0,MIN(0.125*$O178,0.2*($L178-$M178)))),IF($P178="FLAT-LT",MAX(0,0.125*$O178),IF($P178="SLAB",MAX(0,Slab_Rate*$O178),"")))))))</f>
        <v/>
      </c>
    </row>
    <row r="179" ht="15" customHeight="1" s="37">
      <c r="A179" s="67">
        <f>IF($C179="","",ROW()-8)</f>
        <v/>
      </c>
      <c r="B179" s="75" t="n"/>
      <c r="C179" s="75" t="n"/>
      <c r="D179" s="76" t="n"/>
      <c r="E179" s="76" t="n"/>
      <c r="F179" s="77" t="n"/>
      <c r="G179" s="77" t="n"/>
      <c r="H179" s="77" t="n"/>
      <c r="I179" s="77" t="n"/>
      <c r="J179" s="67">
        <f>IF(OR($C179="",NOT(ISNUMBER($D179)),NOT(ISNUMBER($E179))),"",DATEDIF($D179,$E179,"m"))</f>
        <v/>
      </c>
      <c r="K179" s="67">
        <f>IF(OR($C179="",NOT(ISNUMBER($D179)),NOT(ISNUMBER($E179))),"",IF($E179&gt;EDATE($D179,INDEX(AM_LTm,MATCH($C179,AM_Type,0))),"LTCG","STCG"))</f>
        <v/>
      </c>
      <c r="L179" s="71">
        <f>IF($C179="","",$G179-$H179)</f>
        <v/>
      </c>
      <c r="M179" s="71">
        <f>IF(OR($C179="",NOT(ISNUMBER($D179)),NOT(ISNUMBER($E179))),"",IF(AND(INDEX(AM_Index,MATCH($C179,AM_Type,0))=1,$K179="LTCG",$D179&lt;DATE(2024,7,23),Resident="Yes"),$F179*INDEX(CII_Val,MATCH(IF(MONTH($E179)&gt;=4,YEAR($E179),YEAR($E179)-1),CII_Year,0))/INDEX(CII_Val,MATCH(MAX(2001,IF(MONTH($D179)&gt;=4,YEAR($D179),YEAR($D179)-1)),CII_Year,0)),""))</f>
        <v/>
      </c>
      <c r="N179" s="71">
        <f>IF($C179="","",IF(AND(INDEX(AM_Grand,MATCH($C179,AM_Type,0))=1,$K179="LTCG",ISNUMBER($D179),$D179&lt;DATE(2018,2,1),$I179&lt;&gt;""),MAX($F179,MIN($I179,$G179)),$F179))</f>
        <v/>
      </c>
      <c r="O179" s="71">
        <f>IF($C179="","",$L179-$N179)</f>
        <v/>
      </c>
      <c r="P179" s="67">
        <f>IF($C179="","",IF(INDEX(AM_Cat,MATCH($C179,AM_Type,0))="SLABONLY","SLAB",IF($K179="","",IF($K179="STCG",IF(INDEX(AM_Cat,MATCH($C179,AM_Type,0))="EQ","EQ-ST","SLAB"),IF(INDEX(AM_Cat,MATCH($C179,AM_Type,0))="EQ","EQ-LT",IF(INDEX(AM_Cat,MATCH($C179,AM_Type,0))="PROP","PROP-LT","FLAT-LT"))))))</f>
        <v/>
      </c>
      <c r="Q179" s="71">
        <f>IF($C179="","",IF($P179="","",IF($P179="EQ-LT","pooled",IF($P179="EQ-ST",MAX(0,0.2*$O179),IF($P179="PROP-LT",IF($M179="",MAX(0,0.125*$O179),MAX(0,MIN(0.125*$O179,0.2*($L179-$M179)))),IF($P179="FLAT-LT",MAX(0,0.125*$O179),IF($P179="SLAB",MAX(0,Slab_Rate*$O179),"")))))))</f>
        <v/>
      </c>
    </row>
    <row r="180" ht="15" customHeight="1" s="37">
      <c r="A180" s="72">
        <f>IF($C180="","",ROW()-8)</f>
        <v/>
      </c>
      <c r="B180" s="75" t="n"/>
      <c r="C180" s="75" t="n"/>
      <c r="D180" s="76" t="n"/>
      <c r="E180" s="76" t="n"/>
      <c r="F180" s="77" t="n"/>
      <c r="G180" s="77" t="n"/>
      <c r="H180" s="77" t="n"/>
      <c r="I180" s="77" t="n"/>
      <c r="J180" s="72">
        <f>IF(OR($C180="",NOT(ISNUMBER($D180)),NOT(ISNUMBER($E180))),"",DATEDIF($D180,$E180,"m"))</f>
        <v/>
      </c>
      <c r="K180" s="72">
        <f>IF(OR($C180="",NOT(ISNUMBER($D180)),NOT(ISNUMBER($E180))),"",IF($E180&gt;EDATE($D180,INDEX(AM_LTm,MATCH($C180,AM_Type,0))),"LTCG","STCG"))</f>
        <v/>
      </c>
      <c r="L180" s="74">
        <f>IF($C180="","",$G180-$H180)</f>
        <v/>
      </c>
      <c r="M180" s="74">
        <f>IF(OR($C180="",NOT(ISNUMBER($D180)),NOT(ISNUMBER($E180))),"",IF(AND(INDEX(AM_Index,MATCH($C180,AM_Type,0))=1,$K180="LTCG",$D180&lt;DATE(2024,7,23),Resident="Yes"),$F180*INDEX(CII_Val,MATCH(IF(MONTH($E180)&gt;=4,YEAR($E180),YEAR($E180)-1),CII_Year,0))/INDEX(CII_Val,MATCH(MAX(2001,IF(MONTH($D180)&gt;=4,YEAR($D180),YEAR($D180)-1)),CII_Year,0)),""))</f>
        <v/>
      </c>
      <c r="N180" s="74">
        <f>IF($C180="","",IF(AND(INDEX(AM_Grand,MATCH($C180,AM_Type,0))=1,$K180="LTCG",ISNUMBER($D180),$D180&lt;DATE(2018,2,1),$I180&lt;&gt;""),MAX($F180,MIN($I180,$G180)),$F180))</f>
        <v/>
      </c>
      <c r="O180" s="74">
        <f>IF($C180="","",$L180-$N180)</f>
        <v/>
      </c>
      <c r="P180" s="72">
        <f>IF($C180="","",IF(INDEX(AM_Cat,MATCH($C180,AM_Type,0))="SLABONLY","SLAB",IF($K180="","",IF($K180="STCG",IF(INDEX(AM_Cat,MATCH($C180,AM_Type,0))="EQ","EQ-ST","SLAB"),IF(INDEX(AM_Cat,MATCH($C180,AM_Type,0))="EQ","EQ-LT",IF(INDEX(AM_Cat,MATCH($C180,AM_Type,0))="PROP","PROP-LT","FLAT-LT"))))))</f>
        <v/>
      </c>
      <c r="Q180" s="74">
        <f>IF($C180="","",IF($P180="","",IF($P180="EQ-LT","pooled",IF($P180="EQ-ST",MAX(0,0.2*$O180),IF($P180="PROP-LT",IF($M180="",MAX(0,0.125*$O180),MAX(0,MIN(0.125*$O180,0.2*($L180-$M180)))),IF($P180="FLAT-LT",MAX(0,0.125*$O180),IF($P180="SLAB",MAX(0,Slab_Rate*$O180),"")))))))</f>
        <v/>
      </c>
    </row>
    <row r="181" ht="15" customHeight="1" s="37">
      <c r="A181" s="67">
        <f>IF($C181="","",ROW()-8)</f>
        <v/>
      </c>
      <c r="B181" s="75" t="n"/>
      <c r="C181" s="75" t="n"/>
      <c r="D181" s="76" t="n"/>
      <c r="E181" s="76" t="n"/>
      <c r="F181" s="77" t="n"/>
      <c r="G181" s="77" t="n"/>
      <c r="H181" s="77" t="n"/>
      <c r="I181" s="77" t="n"/>
      <c r="J181" s="67">
        <f>IF(OR($C181="",NOT(ISNUMBER($D181)),NOT(ISNUMBER($E181))),"",DATEDIF($D181,$E181,"m"))</f>
        <v/>
      </c>
      <c r="K181" s="67">
        <f>IF(OR($C181="",NOT(ISNUMBER($D181)),NOT(ISNUMBER($E181))),"",IF($E181&gt;EDATE($D181,INDEX(AM_LTm,MATCH($C181,AM_Type,0))),"LTCG","STCG"))</f>
        <v/>
      </c>
      <c r="L181" s="71">
        <f>IF($C181="","",$G181-$H181)</f>
        <v/>
      </c>
      <c r="M181" s="71">
        <f>IF(OR($C181="",NOT(ISNUMBER($D181)),NOT(ISNUMBER($E181))),"",IF(AND(INDEX(AM_Index,MATCH($C181,AM_Type,0))=1,$K181="LTCG",$D181&lt;DATE(2024,7,23),Resident="Yes"),$F181*INDEX(CII_Val,MATCH(IF(MONTH($E181)&gt;=4,YEAR($E181),YEAR($E181)-1),CII_Year,0))/INDEX(CII_Val,MATCH(MAX(2001,IF(MONTH($D181)&gt;=4,YEAR($D181),YEAR($D181)-1)),CII_Year,0)),""))</f>
        <v/>
      </c>
      <c r="N181" s="71">
        <f>IF($C181="","",IF(AND(INDEX(AM_Grand,MATCH($C181,AM_Type,0))=1,$K181="LTCG",ISNUMBER($D181),$D181&lt;DATE(2018,2,1),$I181&lt;&gt;""),MAX($F181,MIN($I181,$G181)),$F181))</f>
        <v/>
      </c>
      <c r="O181" s="71">
        <f>IF($C181="","",$L181-$N181)</f>
        <v/>
      </c>
      <c r="P181" s="67">
        <f>IF($C181="","",IF(INDEX(AM_Cat,MATCH($C181,AM_Type,0))="SLABONLY","SLAB",IF($K181="","",IF($K181="STCG",IF(INDEX(AM_Cat,MATCH($C181,AM_Type,0))="EQ","EQ-ST","SLAB"),IF(INDEX(AM_Cat,MATCH($C181,AM_Type,0))="EQ","EQ-LT",IF(INDEX(AM_Cat,MATCH($C181,AM_Type,0))="PROP","PROP-LT","FLAT-LT"))))))</f>
        <v/>
      </c>
      <c r="Q181" s="71">
        <f>IF($C181="","",IF($P181="","",IF($P181="EQ-LT","pooled",IF($P181="EQ-ST",MAX(0,0.2*$O181),IF($P181="PROP-LT",IF($M181="",MAX(0,0.125*$O181),MAX(0,MIN(0.125*$O181,0.2*($L181-$M181)))),IF($P181="FLAT-LT",MAX(0,0.125*$O181),IF($P181="SLAB",MAX(0,Slab_Rate*$O181),"")))))))</f>
        <v/>
      </c>
    </row>
    <row r="182" ht="15" customHeight="1" s="37">
      <c r="A182" s="72">
        <f>IF($C182="","",ROW()-8)</f>
        <v/>
      </c>
      <c r="B182" s="75" t="n"/>
      <c r="C182" s="75" t="n"/>
      <c r="D182" s="76" t="n"/>
      <c r="E182" s="76" t="n"/>
      <c r="F182" s="77" t="n"/>
      <c r="G182" s="77" t="n"/>
      <c r="H182" s="77" t="n"/>
      <c r="I182" s="77" t="n"/>
      <c r="J182" s="72">
        <f>IF(OR($C182="",NOT(ISNUMBER($D182)),NOT(ISNUMBER($E182))),"",DATEDIF($D182,$E182,"m"))</f>
        <v/>
      </c>
      <c r="K182" s="72">
        <f>IF(OR($C182="",NOT(ISNUMBER($D182)),NOT(ISNUMBER($E182))),"",IF($E182&gt;EDATE($D182,INDEX(AM_LTm,MATCH($C182,AM_Type,0))),"LTCG","STCG"))</f>
        <v/>
      </c>
      <c r="L182" s="74">
        <f>IF($C182="","",$G182-$H182)</f>
        <v/>
      </c>
      <c r="M182" s="74">
        <f>IF(OR($C182="",NOT(ISNUMBER($D182)),NOT(ISNUMBER($E182))),"",IF(AND(INDEX(AM_Index,MATCH($C182,AM_Type,0))=1,$K182="LTCG",$D182&lt;DATE(2024,7,23),Resident="Yes"),$F182*INDEX(CII_Val,MATCH(IF(MONTH($E182)&gt;=4,YEAR($E182),YEAR($E182)-1),CII_Year,0))/INDEX(CII_Val,MATCH(MAX(2001,IF(MONTH($D182)&gt;=4,YEAR($D182),YEAR($D182)-1)),CII_Year,0)),""))</f>
        <v/>
      </c>
      <c r="N182" s="74">
        <f>IF($C182="","",IF(AND(INDEX(AM_Grand,MATCH($C182,AM_Type,0))=1,$K182="LTCG",ISNUMBER($D182),$D182&lt;DATE(2018,2,1),$I182&lt;&gt;""),MAX($F182,MIN($I182,$G182)),$F182))</f>
        <v/>
      </c>
      <c r="O182" s="74">
        <f>IF($C182="","",$L182-$N182)</f>
        <v/>
      </c>
      <c r="P182" s="72">
        <f>IF($C182="","",IF(INDEX(AM_Cat,MATCH($C182,AM_Type,0))="SLABONLY","SLAB",IF($K182="","",IF($K182="STCG",IF(INDEX(AM_Cat,MATCH($C182,AM_Type,0))="EQ","EQ-ST","SLAB"),IF(INDEX(AM_Cat,MATCH($C182,AM_Type,0))="EQ","EQ-LT",IF(INDEX(AM_Cat,MATCH($C182,AM_Type,0))="PROP","PROP-LT","FLAT-LT"))))))</f>
        <v/>
      </c>
      <c r="Q182" s="74">
        <f>IF($C182="","",IF($P182="","",IF($P182="EQ-LT","pooled",IF($P182="EQ-ST",MAX(0,0.2*$O182),IF($P182="PROP-LT",IF($M182="",MAX(0,0.125*$O182),MAX(0,MIN(0.125*$O182,0.2*($L182-$M182)))),IF($P182="FLAT-LT",MAX(0,0.125*$O182),IF($P182="SLAB",MAX(0,Slab_Rate*$O182),"")))))))</f>
        <v/>
      </c>
    </row>
    <row r="183" ht="15" customHeight="1" s="37">
      <c r="A183" s="67">
        <f>IF($C183="","",ROW()-8)</f>
        <v/>
      </c>
      <c r="B183" s="75" t="n"/>
      <c r="C183" s="75" t="n"/>
      <c r="D183" s="76" t="n"/>
      <c r="E183" s="76" t="n"/>
      <c r="F183" s="77" t="n"/>
      <c r="G183" s="77" t="n"/>
      <c r="H183" s="77" t="n"/>
      <c r="I183" s="77" t="n"/>
      <c r="J183" s="67">
        <f>IF(OR($C183="",NOT(ISNUMBER($D183)),NOT(ISNUMBER($E183))),"",DATEDIF($D183,$E183,"m"))</f>
        <v/>
      </c>
      <c r="K183" s="67">
        <f>IF(OR($C183="",NOT(ISNUMBER($D183)),NOT(ISNUMBER($E183))),"",IF($E183&gt;EDATE($D183,INDEX(AM_LTm,MATCH($C183,AM_Type,0))),"LTCG","STCG"))</f>
        <v/>
      </c>
      <c r="L183" s="71">
        <f>IF($C183="","",$G183-$H183)</f>
        <v/>
      </c>
      <c r="M183" s="71">
        <f>IF(OR($C183="",NOT(ISNUMBER($D183)),NOT(ISNUMBER($E183))),"",IF(AND(INDEX(AM_Index,MATCH($C183,AM_Type,0))=1,$K183="LTCG",$D183&lt;DATE(2024,7,23),Resident="Yes"),$F183*INDEX(CII_Val,MATCH(IF(MONTH($E183)&gt;=4,YEAR($E183),YEAR($E183)-1),CII_Year,0))/INDEX(CII_Val,MATCH(MAX(2001,IF(MONTH($D183)&gt;=4,YEAR($D183),YEAR($D183)-1)),CII_Year,0)),""))</f>
        <v/>
      </c>
      <c r="N183" s="71">
        <f>IF($C183="","",IF(AND(INDEX(AM_Grand,MATCH($C183,AM_Type,0))=1,$K183="LTCG",ISNUMBER($D183),$D183&lt;DATE(2018,2,1),$I183&lt;&gt;""),MAX($F183,MIN($I183,$G183)),$F183))</f>
        <v/>
      </c>
      <c r="O183" s="71">
        <f>IF($C183="","",$L183-$N183)</f>
        <v/>
      </c>
      <c r="P183" s="67">
        <f>IF($C183="","",IF(INDEX(AM_Cat,MATCH($C183,AM_Type,0))="SLABONLY","SLAB",IF($K183="","",IF($K183="STCG",IF(INDEX(AM_Cat,MATCH($C183,AM_Type,0))="EQ","EQ-ST","SLAB"),IF(INDEX(AM_Cat,MATCH($C183,AM_Type,0))="EQ","EQ-LT",IF(INDEX(AM_Cat,MATCH($C183,AM_Type,0))="PROP","PROP-LT","FLAT-LT"))))))</f>
        <v/>
      </c>
      <c r="Q183" s="71">
        <f>IF($C183="","",IF($P183="","",IF($P183="EQ-LT","pooled",IF($P183="EQ-ST",MAX(0,0.2*$O183),IF($P183="PROP-LT",IF($M183="",MAX(0,0.125*$O183),MAX(0,MIN(0.125*$O183,0.2*($L183-$M183)))),IF($P183="FLAT-LT",MAX(0,0.125*$O183),IF($P183="SLAB",MAX(0,Slab_Rate*$O183),"")))))))</f>
        <v/>
      </c>
    </row>
    <row r="184" ht="15" customHeight="1" s="37">
      <c r="A184" s="72">
        <f>IF($C184="","",ROW()-8)</f>
        <v/>
      </c>
      <c r="B184" s="75" t="n"/>
      <c r="C184" s="75" t="n"/>
      <c r="D184" s="76" t="n"/>
      <c r="E184" s="76" t="n"/>
      <c r="F184" s="77" t="n"/>
      <c r="G184" s="77" t="n"/>
      <c r="H184" s="77" t="n"/>
      <c r="I184" s="77" t="n"/>
      <c r="J184" s="72">
        <f>IF(OR($C184="",NOT(ISNUMBER($D184)),NOT(ISNUMBER($E184))),"",DATEDIF($D184,$E184,"m"))</f>
        <v/>
      </c>
      <c r="K184" s="72">
        <f>IF(OR($C184="",NOT(ISNUMBER($D184)),NOT(ISNUMBER($E184))),"",IF($E184&gt;EDATE($D184,INDEX(AM_LTm,MATCH($C184,AM_Type,0))),"LTCG","STCG"))</f>
        <v/>
      </c>
      <c r="L184" s="74">
        <f>IF($C184="","",$G184-$H184)</f>
        <v/>
      </c>
      <c r="M184" s="74">
        <f>IF(OR($C184="",NOT(ISNUMBER($D184)),NOT(ISNUMBER($E184))),"",IF(AND(INDEX(AM_Index,MATCH($C184,AM_Type,0))=1,$K184="LTCG",$D184&lt;DATE(2024,7,23),Resident="Yes"),$F184*INDEX(CII_Val,MATCH(IF(MONTH($E184)&gt;=4,YEAR($E184),YEAR($E184)-1),CII_Year,0))/INDEX(CII_Val,MATCH(MAX(2001,IF(MONTH($D184)&gt;=4,YEAR($D184),YEAR($D184)-1)),CII_Year,0)),""))</f>
        <v/>
      </c>
      <c r="N184" s="74">
        <f>IF($C184="","",IF(AND(INDEX(AM_Grand,MATCH($C184,AM_Type,0))=1,$K184="LTCG",ISNUMBER($D184),$D184&lt;DATE(2018,2,1),$I184&lt;&gt;""),MAX($F184,MIN($I184,$G184)),$F184))</f>
        <v/>
      </c>
      <c r="O184" s="74">
        <f>IF($C184="","",$L184-$N184)</f>
        <v/>
      </c>
      <c r="P184" s="72">
        <f>IF($C184="","",IF(INDEX(AM_Cat,MATCH($C184,AM_Type,0))="SLABONLY","SLAB",IF($K184="","",IF($K184="STCG",IF(INDEX(AM_Cat,MATCH($C184,AM_Type,0))="EQ","EQ-ST","SLAB"),IF(INDEX(AM_Cat,MATCH($C184,AM_Type,0))="EQ","EQ-LT",IF(INDEX(AM_Cat,MATCH($C184,AM_Type,0))="PROP","PROP-LT","FLAT-LT"))))))</f>
        <v/>
      </c>
      <c r="Q184" s="74">
        <f>IF($C184="","",IF($P184="","",IF($P184="EQ-LT","pooled",IF($P184="EQ-ST",MAX(0,0.2*$O184),IF($P184="PROP-LT",IF($M184="",MAX(0,0.125*$O184),MAX(0,MIN(0.125*$O184,0.2*($L184-$M184)))),IF($P184="FLAT-LT",MAX(0,0.125*$O184),IF($P184="SLAB",MAX(0,Slab_Rate*$O184),"")))))))</f>
        <v/>
      </c>
    </row>
    <row r="185" ht="15" customHeight="1" s="37">
      <c r="A185" s="67">
        <f>IF($C185="","",ROW()-8)</f>
        <v/>
      </c>
      <c r="B185" s="75" t="n"/>
      <c r="C185" s="75" t="n"/>
      <c r="D185" s="76" t="n"/>
      <c r="E185" s="76" t="n"/>
      <c r="F185" s="77" t="n"/>
      <c r="G185" s="77" t="n"/>
      <c r="H185" s="77" t="n"/>
      <c r="I185" s="77" t="n"/>
      <c r="J185" s="67">
        <f>IF(OR($C185="",NOT(ISNUMBER($D185)),NOT(ISNUMBER($E185))),"",DATEDIF($D185,$E185,"m"))</f>
        <v/>
      </c>
      <c r="K185" s="67">
        <f>IF(OR($C185="",NOT(ISNUMBER($D185)),NOT(ISNUMBER($E185))),"",IF($E185&gt;EDATE($D185,INDEX(AM_LTm,MATCH($C185,AM_Type,0))),"LTCG","STCG"))</f>
        <v/>
      </c>
      <c r="L185" s="71">
        <f>IF($C185="","",$G185-$H185)</f>
        <v/>
      </c>
      <c r="M185" s="71">
        <f>IF(OR($C185="",NOT(ISNUMBER($D185)),NOT(ISNUMBER($E185))),"",IF(AND(INDEX(AM_Index,MATCH($C185,AM_Type,0))=1,$K185="LTCG",$D185&lt;DATE(2024,7,23),Resident="Yes"),$F185*INDEX(CII_Val,MATCH(IF(MONTH($E185)&gt;=4,YEAR($E185),YEAR($E185)-1),CII_Year,0))/INDEX(CII_Val,MATCH(MAX(2001,IF(MONTH($D185)&gt;=4,YEAR($D185),YEAR($D185)-1)),CII_Year,0)),""))</f>
        <v/>
      </c>
      <c r="N185" s="71">
        <f>IF($C185="","",IF(AND(INDEX(AM_Grand,MATCH($C185,AM_Type,0))=1,$K185="LTCG",ISNUMBER($D185),$D185&lt;DATE(2018,2,1),$I185&lt;&gt;""),MAX($F185,MIN($I185,$G185)),$F185))</f>
        <v/>
      </c>
      <c r="O185" s="71">
        <f>IF($C185="","",$L185-$N185)</f>
        <v/>
      </c>
      <c r="P185" s="67">
        <f>IF($C185="","",IF(INDEX(AM_Cat,MATCH($C185,AM_Type,0))="SLABONLY","SLAB",IF($K185="","",IF($K185="STCG",IF(INDEX(AM_Cat,MATCH($C185,AM_Type,0))="EQ","EQ-ST","SLAB"),IF(INDEX(AM_Cat,MATCH($C185,AM_Type,0))="EQ","EQ-LT",IF(INDEX(AM_Cat,MATCH($C185,AM_Type,0))="PROP","PROP-LT","FLAT-LT"))))))</f>
        <v/>
      </c>
      <c r="Q185" s="71">
        <f>IF($C185="","",IF($P185="","",IF($P185="EQ-LT","pooled",IF($P185="EQ-ST",MAX(0,0.2*$O185),IF($P185="PROP-LT",IF($M185="",MAX(0,0.125*$O185),MAX(0,MIN(0.125*$O185,0.2*($L185-$M185)))),IF($P185="FLAT-LT",MAX(0,0.125*$O185),IF($P185="SLAB",MAX(0,Slab_Rate*$O185),"")))))))</f>
        <v/>
      </c>
    </row>
    <row r="186" ht="15" customHeight="1" s="37">
      <c r="A186" s="72">
        <f>IF($C186="","",ROW()-8)</f>
        <v/>
      </c>
      <c r="B186" s="75" t="n"/>
      <c r="C186" s="75" t="n"/>
      <c r="D186" s="76" t="n"/>
      <c r="E186" s="76" t="n"/>
      <c r="F186" s="77" t="n"/>
      <c r="G186" s="77" t="n"/>
      <c r="H186" s="77" t="n"/>
      <c r="I186" s="77" t="n"/>
      <c r="J186" s="72">
        <f>IF(OR($C186="",NOT(ISNUMBER($D186)),NOT(ISNUMBER($E186))),"",DATEDIF($D186,$E186,"m"))</f>
        <v/>
      </c>
      <c r="K186" s="72">
        <f>IF(OR($C186="",NOT(ISNUMBER($D186)),NOT(ISNUMBER($E186))),"",IF($E186&gt;EDATE($D186,INDEX(AM_LTm,MATCH($C186,AM_Type,0))),"LTCG","STCG"))</f>
        <v/>
      </c>
      <c r="L186" s="74">
        <f>IF($C186="","",$G186-$H186)</f>
        <v/>
      </c>
      <c r="M186" s="74">
        <f>IF(OR($C186="",NOT(ISNUMBER($D186)),NOT(ISNUMBER($E186))),"",IF(AND(INDEX(AM_Index,MATCH($C186,AM_Type,0))=1,$K186="LTCG",$D186&lt;DATE(2024,7,23),Resident="Yes"),$F186*INDEX(CII_Val,MATCH(IF(MONTH($E186)&gt;=4,YEAR($E186),YEAR($E186)-1),CII_Year,0))/INDEX(CII_Val,MATCH(MAX(2001,IF(MONTH($D186)&gt;=4,YEAR($D186),YEAR($D186)-1)),CII_Year,0)),""))</f>
        <v/>
      </c>
      <c r="N186" s="74">
        <f>IF($C186="","",IF(AND(INDEX(AM_Grand,MATCH($C186,AM_Type,0))=1,$K186="LTCG",ISNUMBER($D186),$D186&lt;DATE(2018,2,1),$I186&lt;&gt;""),MAX($F186,MIN($I186,$G186)),$F186))</f>
        <v/>
      </c>
      <c r="O186" s="74">
        <f>IF($C186="","",$L186-$N186)</f>
        <v/>
      </c>
      <c r="P186" s="72">
        <f>IF($C186="","",IF(INDEX(AM_Cat,MATCH($C186,AM_Type,0))="SLABONLY","SLAB",IF($K186="","",IF($K186="STCG",IF(INDEX(AM_Cat,MATCH($C186,AM_Type,0))="EQ","EQ-ST","SLAB"),IF(INDEX(AM_Cat,MATCH($C186,AM_Type,0))="EQ","EQ-LT",IF(INDEX(AM_Cat,MATCH($C186,AM_Type,0))="PROP","PROP-LT","FLAT-LT"))))))</f>
        <v/>
      </c>
      <c r="Q186" s="74">
        <f>IF($C186="","",IF($P186="","",IF($P186="EQ-LT","pooled",IF($P186="EQ-ST",MAX(0,0.2*$O186),IF($P186="PROP-LT",IF($M186="",MAX(0,0.125*$O186),MAX(0,MIN(0.125*$O186,0.2*($L186-$M186)))),IF($P186="FLAT-LT",MAX(0,0.125*$O186),IF($P186="SLAB",MAX(0,Slab_Rate*$O186),"")))))))</f>
        <v/>
      </c>
    </row>
    <row r="187" ht="15" customHeight="1" s="37">
      <c r="A187" s="67">
        <f>IF($C187="","",ROW()-8)</f>
        <v/>
      </c>
      <c r="B187" s="75" t="n"/>
      <c r="C187" s="75" t="n"/>
      <c r="D187" s="76" t="n"/>
      <c r="E187" s="76" t="n"/>
      <c r="F187" s="77" t="n"/>
      <c r="G187" s="77" t="n"/>
      <c r="H187" s="77" t="n"/>
      <c r="I187" s="77" t="n"/>
      <c r="J187" s="67">
        <f>IF(OR($C187="",NOT(ISNUMBER($D187)),NOT(ISNUMBER($E187))),"",DATEDIF($D187,$E187,"m"))</f>
        <v/>
      </c>
      <c r="K187" s="67">
        <f>IF(OR($C187="",NOT(ISNUMBER($D187)),NOT(ISNUMBER($E187))),"",IF($E187&gt;EDATE($D187,INDEX(AM_LTm,MATCH($C187,AM_Type,0))),"LTCG","STCG"))</f>
        <v/>
      </c>
      <c r="L187" s="71">
        <f>IF($C187="","",$G187-$H187)</f>
        <v/>
      </c>
      <c r="M187" s="71">
        <f>IF(OR($C187="",NOT(ISNUMBER($D187)),NOT(ISNUMBER($E187))),"",IF(AND(INDEX(AM_Index,MATCH($C187,AM_Type,0))=1,$K187="LTCG",$D187&lt;DATE(2024,7,23),Resident="Yes"),$F187*INDEX(CII_Val,MATCH(IF(MONTH($E187)&gt;=4,YEAR($E187),YEAR($E187)-1),CII_Year,0))/INDEX(CII_Val,MATCH(MAX(2001,IF(MONTH($D187)&gt;=4,YEAR($D187),YEAR($D187)-1)),CII_Year,0)),""))</f>
        <v/>
      </c>
      <c r="N187" s="71">
        <f>IF($C187="","",IF(AND(INDEX(AM_Grand,MATCH($C187,AM_Type,0))=1,$K187="LTCG",ISNUMBER($D187),$D187&lt;DATE(2018,2,1),$I187&lt;&gt;""),MAX($F187,MIN($I187,$G187)),$F187))</f>
        <v/>
      </c>
      <c r="O187" s="71">
        <f>IF($C187="","",$L187-$N187)</f>
        <v/>
      </c>
      <c r="P187" s="67">
        <f>IF($C187="","",IF(INDEX(AM_Cat,MATCH($C187,AM_Type,0))="SLABONLY","SLAB",IF($K187="","",IF($K187="STCG",IF(INDEX(AM_Cat,MATCH($C187,AM_Type,0))="EQ","EQ-ST","SLAB"),IF(INDEX(AM_Cat,MATCH($C187,AM_Type,0))="EQ","EQ-LT",IF(INDEX(AM_Cat,MATCH($C187,AM_Type,0))="PROP","PROP-LT","FLAT-LT"))))))</f>
        <v/>
      </c>
      <c r="Q187" s="71">
        <f>IF($C187="","",IF($P187="","",IF($P187="EQ-LT","pooled",IF($P187="EQ-ST",MAX(0,0.2*$O187),IF($P187="PROP-LT",IF($M187="",MAX(0,0.125*$O187),MAX(0,MIN(0.125*$O187,0.2*($L187-$M187)))),IF($P187="FLAT-LT",MAX(0,0.125*$O187),IF($P187="SLAB",MAX(0,Slab_Rate*$O187),"")))))))</f>
        <v/>
      </c>
    </row>
    <row r="188" ht="15" customHeight="1" s="37">
      <c r="A188" s="72">
        <f>IF($C188="","",ROW()-8)</f>
        <v/>
      </c>
      <c r="B188" s="75" t="n"/>
      <c r="C188" s="75" t="n"/>
      <c r="D188" s="76" t="n"/>
      <c r="E188" s="76" t="n"/>
      <c r="F188" s="77" t="n"/>
      <c r="G188" s="77" t="n"/>
      <c r="H188" s="77" t="n"/>
      <c r="I188" s="77" t="n"/>
      <c r="J188" s="72">
        <f>IF(OR($C188="",NOT(ISNUMBER($D188)),NOT(ISNUMBER($E188))),"",DATEDIF($D188,$E188,"m"))</f>
        <v/>
      </c>
      <c r="K188" s="72">
        <f>IF(OR($C188="",NOT(ISNUMBER($D188)),NOT(ISNUMBER($E188))),"",IF($E188&gt;EDATE($D188,INDEX(AM_LTm,MATCH($C188,AM_Type,0))),"LTCG","STCG"))</f>
        <v/>
      </c>
      <c r="L188" s="74">
        <f>IF($C188="","",$G188-$H188)</f>
        <v/>
      </c>
      <c r="M188" s="74">
        <f>IF(OR($C188="",NOT(ISNUMBER($D188)),NOT(ISNUMBER($E188))),"",IF(AND(INDEX(AM_Index,MATCH($C188,AM_Type,0))=1,$K188="LTCG",$D188&lt;DATE(2024,7,23),Resident="Yes"),$F188*INDEX(CII_Val,MATCH(IF(MONTH($E188)&gt;=4,YEAR($E188),YEAR($E188)-1),CII_Year,0))/INDEX(CII_Val,MATCH(MAX(2001,IF(MONTH($D188)&gt;=4,YEAR($D188),YEAR($D188)-1)),CII_Year,0)),""))</f>
        <v/>
      </c>
      <c r="N188" s="74">
        <f>IF($C188="","",IF(AND(INDEX(AM_Grand,MATCH($C188,AM_Type,0))=1,$K188="LTCG",ISNUMBER($D188),$D188&lt;DATE(2018,2,1),$I188&lt;&gt;""),MAX($F188,MIN($I188,$G188)),$F188))</f>
        <v/>
      </c>
      <c r="O188" s="74">
        <f>IF($C188="","",$L188-$N188)</f>
        <v/>
      </c>
      <c r="P188" s="72">
        <f>IF($C188="","",IF(INDEX(AM_Cat,MATCH($C188,AM_Type,0))="SLABONLY","SLAB",IF($K188="","",IF($K188="STCG",IF(INDEX(AM_Cat,MATCH($C188,AM_Type,0))="EQ","EQ-ST","SLAB"),IF(INDEX(AM_Cat,MATCH($C188,AM_Type,0))="EQ","EQ-LT",IF(INDEX(AM_Cat,MATCH($C188,AM_Type,0))="PROP","PROP-LT","FLAT-LT"))))))</f>
        <v/>
      </c>
      <c r="Q188" s="74">
        <f>IF($C188="","",IF($P188="","",IF($P188="EQ-LT","pooled",IF($P188="EQ-ST",MAX(0,0.2*$O188),IF($P188="PROP-LT",IF($M188="",MAX(0,0.125*$O188),MAX(0,MIN(0.125*$O188,0.2*($L188-$M188)))),IF($P188="FLAT-LT",MAX(0,0.125*$O188),IF($P188="SLAB",MAX(0,Slab_Rate*$O188),"")))))))</f>
        <v/>
      </c>
    </row>
    <row r="189" ht="15" customHeight="1" s="37">
      <c r="A189" s="67">
        <f>IF($C189="","",ROW()-8)</f>
        <v/>
      </c>
      <c r="B189" s="75" t="n"/>
      <c r="C189" s="75" t="n"/>
      <c r="D189" s="76" t="n"/>
      <c r="E189" s="76" t="n"/>
      <c r="F189" s="77" t="n"/>
      <c r="G189" s="77" t="n"/>
      <c r="H189" s="77" t="n"/>
      <c r="I189" s="77" t="n"/>
      <c r="J189" s="67">
        <f>IF(OR($C189="",NOT(ISNUMBER($D189)),NOT(ISNUMBER($E189))),"",DATEDIF($D189,$E189,"m"))</f>
        <v/>
      </c>
      <c r="K189" s="67">
        <f>IF(OR($C189="",NOT(ISNUMBER($D189)),NOT(ISNUMBER($E189))),"",IF($E189&gt;EDATE($D189,INDEX(AM_LTm,MATCH($C189,AM_Type,0))),"LTCG","STCG"))</f>
        <v/>
      </c>
      <c r="L189" s="71">
        <f>IF($C189="","",$G189-$H189)</f>
        <v/>
      </c>
      <c r="M189" s="71">
        <f>IF(OR($C189="",NOT(ISNUMBER($D189)),NOT(ISNUMBER($E189))),"",IF(AND(INDEX(AM_Index,MATCH($C189,AM_Type,0))=1,$K189="LTCG",$D189&lt;DATE(2024,7,23),Resident="Yes"),$F189*INDEX(CII_Val,MATCH(IF(MONTH($E189)&gt;=4,YEAR($E189),YEAR($E189)-1),CII_Year,0))/INDEX(CII_Val,MATCH(MAX(2001,IF(MONTH($D189)&gt;=4,YEAR($D189),YEAR($D189)-1)),CII_Year,0)),""))</f>
        <v/>
      </c>
      <c r="N189" s="71">
        <f>IF($C189="","",IF(AND(INDEX(AM_Grand,MATCH($C189,AM_Type,0))=1,$K189="LTCG",ISNUMBER($D189),$D189&lt;DATE(2018,2,1),$I189&lt;&gt;""),MAX($F189,MIN($I189,$G189)),$F189))</f>
        <v/>
      </c>
      <c r="O189" s="71">
        <f>IF($C189="","",$L189-$N189)</f>
        <v/>
      </c>
      <c r="P189" s="67">
        <f>IF($C189="","",IF(INDEX(AM_Cat,MATCH($C189,AM_Type,0))="SLABONLY","SLAB",IF($K189="","",IF($K189="STCG",IF(INDEX(AM_Cat,MATCH($C189,AM_Type,0))="EQ","EQ-ST","SLAB"),IF(INDEX(AM_Cat,MATCH($C189,AM_Type,0))="EQ","EQ-LT",IF(INDEX(AM_Cat,MATCH($C189,AM_Type,0))="PROP","PROP-LT","FLAT-LT"))))))</f>
        <v/>
      </c>
      <c r="Q189" s="71">
        <f>IF($C189="","",IF($P189="","",IF($P189="EQ-LT","pooled",IF($P189="EQ-ST",MAX(0,0.2*$O189),IF($P189="PROP-LT",IF($M189="",MAX(0,0.125*$O189),MAX(0,MIN(0.125*$O189,0.2*($L189-$M189)))),IF($P189="FLAT-LT",MAX(0,0.125*$O189),IF($P189="SLAB",MAX(0,Slab_Rate*$O189),"")))))))</f>
        <v/>
      </c>
    </row>
    <row r="190" ht="15" customHeight="1" s="37">
      <c r="A190" s="72">
        <f>IF($C190="","",ROW()-8)</f>
        <v/>
      </c>
      <c r="B190" s="75" t="n"/>
      <c r="C190" s="75" t="n"/>
      <c r="D190" s="76" t="n"/>
      <c r="E190" s="76" t="n"/>
      <c r="F190" s="77" t="n"/>
      <c r="G190" s="77" t="n"/>
      <c r="H190" s="77" t="n"/>
      <c r="I190" s="77" t="n"/>
      <c r="J190" s="72">
        <f>IF(OR($C190="",NOT(ISNUMBER($D190)),NOT(ISNUMBER($E190))),"",DATEDIF($D190,$E190,"m"))</f>
        <v/>
      </c>
      <c r="K190" s="72">
        <f>IF(OR($C190="",NOT(ISNUMBER($D190)),NOT(ISNUMBER($E190))),"",IF($E190&gt;EDATE($D190,INDEX(AM_LTm,MATCH($C190,AM_Type,0))),"LTCG","STCG"))</f>
        <v/>
      </c>
      <c r="L190" s="74">
        <f>IF($C190="","",$G190-$H190)</f>
        <v/>
      </c>
      <c r="M190" s="74">
        <f>IF(OR($C190="",NOT(ISNUMBER($D190)),NOT(ISNUMBER($E190))),"",IF(AND(INDEX(AM_Index,MATCH($C190,AM_Type,0))=1,$K190="LTCG",$D190&lt;DATE(2024,7,23),Resident="Yes"),$F190*INDEX(CII_Val,MATCH(IF(MONTH($E190)&gt;=4,YEAR($E190),YEAR($E190)-1),CII_Year,0))/INDEX(CII_Val,MATCH(MAX(2001,IF(MONTH($D190)&gt;=4,YEAR($D190),YEAR($D190)-1)),CII_Year,0)),""))</f>
        <v/>
      </c>
      <c r="N190" s="74">
        <f>IF($C190="","",IF(AND(INDEX(AM_Grand,MATCH($C190,AM_Type,0))=1,$K190="LTCG",ISNUMBER($D190),$D190&lt;DATE(2018,2,1),$I190&lt;&gt;""),MAX($F190,MIN($I190,$G190)),$F190))</f>
        <v/>
      </c>
      <c r="O190" s="74">
        <f>IF($C190="","",$L190-$N190)</f>
        <v/>
      </c>
      <c r="P190" s="72">
        <f>IF($C190="","",IF(INDEX(AM_Cat,MATCH($C190,AM_Type,0))="SLABONLY","SLAB",IF($K190="","",IF($K190="STCG",IF(INDEX(AM_Cat,MATCH($C190,AM_Type,0))="EQ","EQ-ST","SLAB"),IF(INDEX(AM_Cat,MATCH($C190,AM_Type,0))="EQ","EQ-LT",IF(INDEX(AM_Cat,MATCH($C190,AM_Type,0))="PROP","PROP-LT","FLAT-LT"))))))</f>
        <v/>
      </c>
      <c r="Q190" s="74">
        <f>IF($C190="","",IF($P190="","",IF($P190="EQ-LT","pooled",IF($P190="EQ-ST",MAX(0,0.2*$O190),IF($P190="PROP-LT",IF($M190="",MAX(0,0.125*$O190),MAX(0,MIN(0.125*$O190,0.2*($L190-$M190)))),IF($P190="FLAT-LT",MAX(0,0.125*$O190),IF($P190="SLAB",MAX(0,Slab_Rate*$O190),"")))))))</f>
        <v/>
      </c>
    </row>
    <row r="191" ht="15" customHeight="1" s="37">
      <c r="A191" s="67">
        <f>IF($C191="","",ROW()-8)</f>
        <v/>
      </c>
      <c r="B191" s="75" t="n"/>
      <c r="C191" s="75" t="n"/>
      <c r="D191" s="76" t="n"/>
      <c r="E191" s="76" t="n"/>
      <c r="F191" s="77" t="n"/>
      <c r="G191" s="77" t="n"/>
      <c r="H191" s="77" t="n"/>
      <c r="I191" s="77" t="n"/>
      <c r="J191" s="67">
        <f>IF(OR($C191="",NOT(ISNUMBER($D191)),NOT(ISNUMBER($E191))),"",DATEDIF($D191,$E191,"m"))</f>
        <v/>
      </c>
      <c r="K191" s="67">
        <f>IF(OR($C191="",NOT(ISNUMBER($D191)),NOT(ISNUMBER($E191))),"",IF($E191&gt;EDATE($D191,INDEX(AM_LTm,MATCH($C191,AM_Type,0))),"LTCG","STCG"))</f>
        <v/>
      </c>
      <c r="L191" s="71">
        <f>IF($C191="","",$G191-$H191)</f>
        <v/>
      </c>
      <c r="M191" s="71">
        <f>IF(OR($C191="",NOT(ISNUMBER($D191)),NOT(ISNUMBER($E191))),"",IF(AND(INDEX(AM_Index,MATCH($C191,AM_Type,0))=1,$K191="LTCG",$D191&lt;DATE(2024,7,23),Resident="Yes"),$F191*INDEX(CII_Val,MATCH(IF(MONTH($E191)&gt;=4,YEAR($E191),YEAR($E191)-1),CII_Year,0))/INDEX(CII_Val,MATCH(MAX(2001,IF(MONTH($D191)&gt;=4,YEAR($D191),YEAR($D191)-1)),CII_Year,0)),""))</f>
        <v/>
      </c>
      <c r="N191" s="71">
        <f>IF($C191="","",IF(AND(INDEX(AM_Grand,MATCH($C191,AM_Type,0))=1,$K191="LTCG",ISNUMBER($D191),$D191&lt;DATE(2018,2,1),$I191&lt;&gt;""),MAX($F191,MIN($I191,$G191)),$F191))</f>
        <v/>
      </c>
      <c r="O191" s="71">
        <f>IF($C191="","",$L191-$N191)</f>
        <v/>
      </c>
      <c r="P191" s="67">
        <f>IF($C191="","",IF(INDEX(AM_Cat,MATCH($C191,AM_Type,0))="SLABONLY","SLAB",IF($K191="","",IF($K191="STCG",IF(INDEX(AM_Cat,MATCH($C191,AM_Type,0))="EQ","EQ-ST","SLAB"),IF(INDEX(AM_Cat,MATCH($C191,AM_Type,0))="EQ","EQ-LT",IF(INDEX(AM_Cat,MATCH($C191,AM_Type,0))="PROP","PROP-LT","FLAT-LT"))))))</f>
        <v/>
      </c>
      <c r="Q191" s="71">
        <f>IF($C191="","",IF($P191="","",IF($P191="EQ-LT","pooled",IF($P191="EQ-ST",MAX(0,0.2*$O191),IF($P191="PROP-LT",IF($M191="",MAX(0,0.125*$O191),MAX(0,MIN(0.125*$O191,0.2*($L191-$M191)))),IF($P191="FLAT-LT",MAX(0,0.125*$O191),IF($P191="SLAB",MAX(0,Slab_Rate*$O191),"")))))))</f>
        <v/>
      </c>
    </row>
    <row r="192" ht="15" customHeight="1" s="37">
      <c r="A192" s="72">
        <f>IF($C192="","",ROW()-8)</f>
        <v/>
      </c>
      <c r="B192" s="75" t="n"/>
      <c r="C192" s="75" t="n"/>
      <c r="D192" s="76" t="n"/>
      <c r="E192" s="76" t="n"/>
      <c r="F192" s="77" t="n"/>
      <c r="G192" s="77" t="n"/>
      <c r="H192" s="77" t="n"/>
      <c r="I192" s="77" t="n"/>
      <c r="J192" s="72">
        <f>IF(OR($C192="",NOT(ISNUMBER($D192)),NOT(ISNUMBER($E192))),"",DATEDIF($D192,$E192,"m"))</f>
        <v/>
      </c>
      <c r="K192" s="72">
        <f>IF(OR($C192="",NOT(ISNUMBER($D192)),NOT(ISNUMBER($E192))),"",IF($E192&gt;EDATE($D192,INDEX(AM_LTm,MATCH($C192,AM_Type,0))),"LTCG","STCG"))</f>
        <v/>
      </c>
      <c r="L192" s="74">
        <f>IF($C192="","",$G192-$H192)</f>
        <v/>
      </c>
      <c r="M192" s="74">
        <f>IF(OR($C192="",NOT(ISNUMBER($D192)),NOT(ISNUMBER($E192))),"",IF(AND(INDEX(AM_Index,MATCH($C192,AM_Type,0))=1,$K192="LTCG",$D192&lt;DATE(2024,7,23),Resident="Yes"),$F192*INDEX(CII_Val,MATCH(IF(MONTH($E192)&gt;=4,YEAR($E192),YEAR($E192)-1),CII_Year,0))/INDEX(CII_Val,MATCH(MAX(2001,IF(MONTH($D192)&gt;=4,YEAR($D192),YEAR($D192)-1)),CII_Year,0)),""))</f>
        <v/>
      </c>
      <c r="N192" s="74">
        <f>IF($C192="","",IF(AND(INDEX(AM_Grand,MATCH($C192,AM_Type,0))=1,$K192="LTCG",ISNUMBER($D192),$D192&lt;DATE(2018,2,1),$I192&lt;&gt;""),MAX($F192,MIN($I192,$G192)),$F192))</f>
        <v/>
      </c>
      <c r="O192" s="74">
        <f>IF($C192="","",$L192-$N192)</f>
        <v/>
      </c>
      <c r="P192" s="72">
        <f>IF($C192="","",IF(INDEX(AM_Cat,MATCH($C192,AM_Type,0))="SLABONLY","SLAB",IF($K192="","",IF($K192="STCG",IF(INDEX(AM_Cat,MATCH($C192,AM_Type,0))="EQ","EQ-ST","SLAB"),IF(INDEX(AM_Cat,MATCH($C192,AM_Type,0))="EQ","EQ-LT",IF(INDEX(AM_Cat,MATCH($C192,AM_Type,0))="PROP","PROP-LT","FLAT-LT"))))))</f>
        <v/>
      </c>
      <c r="Q192" s="74">
        <f>IF($C192="","",IF($P192="","",IF($P192="EQ-LT","pooled",IF($P192="EQ-ST",MAX(0,0.2*$O192),IF($P192="PROP-LT",IF($M192="",MAX(0,0.125*$O192),MAX(0,MIN(0.125*$O192,0.2*($L192-$M192)))),IF($P192="FLAT-LT",MAX(0,0.125*$O192),IF($P192="SLAB",MAX(0,Slab_Rate*$O192),"")))))))</f>
        <v/>
      </c>
    </row>
    <row r="193" ht="15" customHeight="1" s="37">
      <c r="A193" s="67">
        <f>IF($C193="","",ROW()-8)</f>
        <v/>
      </c>
      <c r="B193" s="75" t="n"/>
      <c r="C193" s="75" t="n"/>
      <c r="D193" s="76" t="n"/>
      <c r="E193" s="76" t="n"/>
      <c r="F193" s="77" t="n"/>
      <c r="G193" s="77" t="n"/>
      <c r="H193" s="77" t="n"/>
      <c r="I193" s="77" t="n"/>
      <c r="J193" s="67">
        <f>IF(OR($C193="",NOT(ISNUMBER($D193)),NOT(ISNUMBER($E193))),"",DATEDIF($D193,$E193,"m"))</f>
        <v/>
      </c>
      <c r="K193" s="67">
        <f>IF(OR($C193="",NOT(ISNUMBER($D193)),NOT(ISNUMBER($E193))),"",IF($E193&gt;EDATE($D193,INDEX(AM_LTm,MATCH($C193,AM_Type,0))),"LTCG","STCG"))</f>
        <v/>
      </c>
      <c r="L193" s="71">
        <f>IF($C193="","",$G193-$H193)</f>
        <v/>
      </c>
      <c r="M193" s="71">
        <f>IF(OR($C193="",NOT(ISNUMBER($D193)),NOT(ISNUMBER($E193))),"",IF(AND(INDEX(AM_Index,MATCH($C193,AM_Type,0))=1,$K193="LTCG",$D193&lt;DATE(2024,7,23),Resident="Yes"),$F193*INDEX(CII_Val,MATCH(IF(MONTH($E193)&gt;=4,YEAR($E193),YEAR($E193)-1),CII_Year,0))/INDEX(CII_Val,MATCH(MAX(2001,IF(MONTH($D193)&gt;=4,YEAR($D193),YEAR($D193)-1)),CII_Year,0)),""))</f>
        <v/>
      </c>
      <c r="N193" s="71">
        <f>IF($C193="","",IF(AND(INDEX(AM_Grand,MATCH($C193,AM_Type,0))=1,$K193="LTCG",ISNUMBER($D193),$D193&lt;DATE(2018,2,1),$I193&lt;&gt;""),MAX($F193,MIN($I193,$G193)),$F193))</f>
        <v/>
      </c>
      <c r="O193" s="71">
        <f>IF($C193="","",$L193-$N193)</f>
        <v/>
      </c>
      <c r="P193" s="67">
        <f>IF($C193="","",IF(INDEX(AM_Cat,MATCH($C193,AM_Type,0))="SLABONLY","SLAB",IF($K193="","",IF($K193="STCG",IF(INDEX(AM_Cat,MATCH($C193,AM_Type,0))="EQ","EQ-ST","SLAB"),IF(INDEX(AM_Cat,MATCH($C193,AM_Type,0))="EQ","EQ-LT",IF(INDEX(AM_Cat,MATCH($C193,AM_Type,0))="PROP","PROP-LT","FLAT-LT"))))))</f>
        <v/>
      </c>
      <c r="Q193" s="71">
        <f>IF($C193="","",IF($P193="","",IF($P193="EQ-LT","pooled",IF($P193="EQ-ST",MAX(0,0.2*$O193),IF($P193="PROP-LT",IF($M193="",MAX(0,0.125*$O193),MAX(0,MIN(0.125*$O193,0.2*($L193-$M193)))),IF($P193="FLAT-LT",MAX(0,0.125*$O193),IF($P193="SLAB",MAX(0,Slab_Rate*$O193),"")))))))</f>
        <v/>
      </c>
    </row>
    <row r="194" ht="15" customHeight="1" s="37">
      <c r="A194" s="72">
        <f>IF($C194="","",ROW()-8)</f>
        <v/>
      </c>
      <c r="B194" s="75" t="n"/>
      <c r="C194" s="75" t="n"/>
      <c r="D194" s="76" t="n"/>
      <c r="E194" s="76" t="n"/>
      <c r="F194" s="77" t="n"/>
      <c r="G194" s="77" t="n"/>
      <c r="H194" s="77" t="n"/>
      <c r="I194" s="77" t="n"/>
      <c r="J194" s="72">
        <f>IF(OR($C194="",NOT(ISNUMBER($D194)),NOT(ISNUMBER($E194))),"",DATEDIF($D194,$E194,"m"))</f>
        <v/>
      </c>
      <c r="K194" s="72">
        <f>IF(OR($C194="",NOT(ISNUMBER($D194)),NOT(ISNUMBER($E194))),"",IF($E194&gt;EDATE($D194,INDEX(AM_LTm,MATCH($C194,AM_Type,0))),"LTCG","STCG"))</f>
        <v/>
      </c>
      <c r="L194" s="74">
        <f>IF($C194="","",$G194-$H194)</f>
        <v/>
      </c>
      <c r="M194" s="74">
        <f>IF(OR($C194="",NOT(ISNUMBER($D194)),NOT(ISNUMBER($E194))),"",IF(AND(INDEX(AM_Index,MATCH($C194,AM_Type,0))=1,$K194="LTCG",$D194&lt;DATE(2024,7,23),Resident="Yes"),$F194*INDEX(CII_Val,MATCH(IF(MONTH($E194)&gt;=4,YEAR($E194),YEAR($E194)-1),CII_Year,0))/INDEX(CII_Val,MATCH(MAX(2001,IF(MONTH($D194)&gt;=4,YEAR($D194),YEAR($D194)-1)),CII_Year,0)),""))</f>
        <v/>
      </c>
      <c r="N194" s="74">
        <f>IF($C194="","",IF(AND(INDEX(AM_Grand,MATCH($C194,AM_Type,0))=1,$K194="LTCG",ISNUMBER($D194),$D194&lt;DATE(2018,2,1),$I194&lt;&gt;""),MAX($F194,MIN($I194,$G194)),$F194))</f>
        <v/>
      </c>
      <c r="O194" s="74">
        <f>IF($C194="","",$L194-$N194)</f>
        <v/>
      </c>
      <c r="P194" s="72">
        <f>IF($C194="","",IF(INDEX(AM_Cat,MATCH($C194,AM_Type,0))="SLABONLY","SLAB",IF($K194="","",IF($K194="STCG",IF(INDEX(AM_Cat,MATCH($C194,AM_Type,0))="EQ","EQ-ST","SLAB"),IF(INDEX(AM_Cat,MATCH($C194,AM_Type,0))="EQ","EQ-LT",IF(INDEX(AM_Cat,MATCH($C194,AM_Type,0))="PROP","PROP-LT","FLAT-LT"))))))</f>
        <v/>
      </c>
      <c r="Q194" s="74">
        <f>IF($C194="","",IF($P194="","",IF($P194="EQ-LT","pooled",IF($P194="EQ-ST",MAX(0,0.2*$O194),IF($P194="PROP-LT",IF($M194="",MAX(0,0.125*$O194),MAX(0,MIN(0.125*$O194,0.2*($L194-$M194)))),IF($P194="FLAT-LT",MAX(0,0.125*$O194),IF($P194="SLAB",MAX(0,Slab_Rate*$O194),"")))))))</f>
        <v/>
      </c>
    </row>
    <row r="195" ht="15" customHeight="1" s="37">
      <c r="A195" s="67">
        <f>IF($C195="","",ROW()-8)</f>
        <v/>
      </c>
      <c r="B195" s="75" t="n"/>
      <c r="C195" s="75" t="n"/>
      <c r="D195" s="76" t="n"/>
      <c r="E195" s="76" t="n"/>
      <c r="F195" s="77" t="n"/>
      <c r="G195" s="77" t="n"/>
      <c r="H195" s="77" t="n"/>
      <c r="I195" s="77" t="n"/>
      <c r="J195" s="67">
        <f>IF(OR($C195="",NOT(ISNUMBER($D195)),NOT(ISNUMBER($E195))),"",DATEDIF($D195,$E195,"m"))</f>
        <v/>
      </c>
      <c r="K195" s="67">
        <f>IF(OR($C195="",NOT(ISNUMBER($D195)),NOT(ISNUMBER($E195))),"",IF($E195&gt;EDATE($D195,INDEX(AM_LTm,MATCH($C195,AM_Type,0))),"LTCG","STCG"))</f>
        <v/>
      </c>
      <c r="L195" s="71">
        <f>IF($C195="","",$G195-$H195)</f>
        <v/>
      </c>
      <c r="M195" s="71">
        <f>IF(OR($C195="",NOT(ISNUMBER($D195)),NOT(ISNUMBER($E195))),"",IF(AND(INDEX(AM_Index,MATCH($C195,AM_Type,0))=1,$K195="LTCG",$D195&lt;DATE(2024,7,23),Resident="Yes"),$F195*INDEX(CII_Val,MATCH(IF(MONTH($E195)&gt;=4,YEAR($E195),YEAR($E195)-1),CII_Year,0))/INDEX(CII_Val,MATCH(MAX(2001,IF(MONTH($D195)&gt;=4,YEAR($D195),YEAR($D195)-1)),CII_Year,0)),""))</f>
        <v/>
      </c>
      <c r="N195" s="71">
        <f>IF($C195="","",IF(AND(INDEX(AM_Grand,MATCH($C195,AM_Type,0))=1,$K195="LTCG",ISNUMBER($D195),$D195&lt;DATE(2018,2,1),$I195&lt;&gt;""),MAX($F195,MIN($I195,$G195)),$F195))</f>
        <v/>
      </c>
      <c r="O195" s="71">
        <f>IF($C195="","",$L195-$N195)</f>
        <v/>
      </c>
      <c r="P195" s="67">
        <f>IF($C195="","",IF(INDEX(AM_Cat,MATCH($C195,AM_Type,0))="SLABONLY","SLAB",IF($K195="","",IF($K195="STCG",IF(INDEX(AM_Cat,MATCH($C195,AM_Type,0))="EQ","EQ-ST","SLAB"),IF(INDEX(AM_Cat,MATCH($C195,AM_Type,0))="EQ","EQ-LT",IF(INDEX(AM_Cat,MATCH($C195,AM_Type,0))="PROP","PROP-LT","FLAT-LT"))))))</f>
        <v/>
      </c>
      <c r="Q195" s="71">
        <f>IF($C195="","",IF($P195="","",IF($P195="EQ-LT","pooled",IF($P195="EQ-ST",MAX(0,0.2*$O195),IF($P195="PROP-LT",IF($M195="",MAX(0,0.125*$O195),MAX(0,MIN(0.125*$O195,0.2*($L195-$M195)))),IF($P195="FLAT-LT",MAX(0,0.125*$O195),IF($P195="SLAB",MAX(0,Slab_Rate*$O195),"")))))))</f>
        <v/>
      </c>
    </row>
    <row r="196" ht="15" customHeight="1" s="37">
      <c r="A196" s="72">
        <f>IF($C196="","",ROW()-8)</f>
        <v/>
      </c>
      <c r="B196" s="75" t="n"/>
      <c r="C196" s="75" t="n"/>
      <c r="D196" s="76" t="n"/>
      <c r="E196" s="76" t="n"/>
      <c r="F196" s="77" t="n"/>
      <c r="G196" s="77" t="n"/>
      <c r="H196" s="77" t="n"/>
      <c r="I196" s="77" t="n"/>
      <c r="J196" s="72">
        <f>IF(OR($C196="",NOT(ISNUMBER($D196)),NOT(ISNUMBER($E196))),"",DATEDIF($D196,$E196,"m"))</f>
        <v/>
      </c>
      <c r="K196" s="72">
        <f>IF(OR($C196="",NOT(ISNUMBER($D196)),NOT(ISNUMBER($E196))),"",IF($E196&gt;EDATE($D196,INDEX(AM_LTm,MATCH($C196,AM_Type,0))),"LTCG","STCG"))</f>
        <v/>
      </c>
      <c r="L196" s="74">
        <f>IF($C196="","",$G196-$H196)</f>
        <v/>
      </c>
      <c r="M196" s="74">
        <f>IF(OR($C196="",NOT(ISNUMBER($D196)),NOT(ISNUMBER($E196))),"",IF(AND(INDEX(AM_Index,MATCH($C196,AM_Type,0))=1,$K196="LTCG",$D196&lt;DATE(2024,7,23),Resident="Yes"),$F196*INDEX(CII_Val,MATCH(IF(MONTH($E196)&gt;=4,YEAR($E196),YEAR($E196)-1),CII_Year,0))/INDEX(CII_Val,MATCH(MAX(2001,IF(MONTH($D196)&gt;=4,YEAR($D196),YEAR($D196)-1)),CII_Year,0)),""))</f>
        <v/>
      </c>
      <c r="N196" s="74">
        <f>IF($C196="","",IF(AND(INDEX(AM_Grand,MATCH($C196,AM_Type,0))=1,$K196="LTCG",ISNUMBER($D196),$D196&lt;DATE(2018,2,1),$I196&lt;&gt;""),MAX($F196,MIN($I196,$G196)),$F196))</f>
        <v/>
      </c>
      <c r="O196" s="74">
        <f>IF($C196="","",$L196-$N196)</f>
        <v/>
      </c>
      <c r="P196" s="72">
        <f>IF($C196="","",IF(INDEX(AM_Cat,MATCH($C196,AM_Type,0))="SLABONLY","SLAB",IF($K196="","",IF($K196="STCG",IF(INDEX(AM_Cat,MATCH($C196,AM_Type,0))="EQ","EQ-ST","SLAB"),IF(INDEX(AM_Cat,MATCH($C196,AM_Type,0))="EQ","EQ-LT",IF(INDEX(AM_Cat,MATCH($C196,AM_Type,0))="PROP","PROP-LT","FLAT-LT"))))))</f>
        <v/>
      </c>
      <c r="Q196" s="74">
        <f>IF($C196="","",IF($P196="","",IF($P196="EQ-LT","pooled",IF($P196="EQ-ST",MAX(0,0.2*$O196),IF($P196="PROP-LT",IF($M196="",MAX(0,0.125*$O196),MAX(0,MIN(0.125*$O196,0.2*($L196-$M196)))),IF($P196="FLAT-LT",MAX(0,0.125*$O196),IF($P196="SLAB",MAX(0,Slab_Rate*$O196),"")))))))</f>
        <v/>
      </c>
    </row>
    <row r="197" ht="15" customHeight="1" s="37">
      <c r="A197" s="67">
        <f>IF($C197="","",ROW()-8)</f>
        <v/>
      </c>
      <c r="B197" s="75" t="n"/>
      <c r="C197" s="75" t="n"/>
      <c r="D197" s="76" t="n"/>
      <c r="E197" s="76" t="n"/>
      <c r="F197" s="77" t="n"/>
      <c r="G197" s="77" t="n"/>
      <c r="H197" s="77" t="n"/>
      <c r="I197" s="77" t="n"/>
      <c r="J197" s="67">
        <f>IF(OR($C197="",NOT(ISNUMBER($D197)),NOT(ISNUMBER($E197))),"",DATEDIF($D197,$E197,"m"))</f>
        <v/>
      </c>
      <c r="K197" s="67">
        <f>IF(OR($C197="",NOT(ISNUMBER($D197)),NOT(ISNUMBER($E197))),"",IF($E197&gt;EDATE($D197,INDEX(AM_LTm,MATCH($C197,AM_Type,0))),"LTCG","STCG"))</f>
        <v/>
      </c>
      <c r="L197" s="71">
        <f>IF($C197="","",$G197-$H197)</f>
        <v/>
      </c>
      <c r="M197" s="71">
        <f>IF(OR($C197="",NOT(ISNUMBER($D197)),NOT(ISNUMBER($E197))),"",IF(AND(INDEX(AM_Index,MATCH($C197,AM_Type,0))=1,$K197="LTCG",$D197&lt;DATE(2024,7,23),Resident="Yes"),$F197*INDEX(CII_Val,MATCH(IF(MONTH($E197)&gt;=4,YEAR($E197),YEAR($E197)-1),CII_Year,0))/INDEX(CII_Val,MATCH(MAX(2001,IF(MONTH($D197)&gt;=4,YEAR($D197),YEAR($D197)-1)),CII_Year,0)),""))</f>
        <v/>
      </c>
      <c r="N197" s="71">
        <f>IF($C197="","",IF(AND(INDEX(AM_Grand,MATCH($C197,AM_Type,0))=1,$K197="LTCG",ISNUMBER($D197),$D197&lt;DATE(2018,2,1),$I197&lt;&gt;""),MAX($F197,MIN($I197,$G197)),$F197))</f>
        <v/>
      </c>
      <c r="O197" s="71">
        <f>IF($C197="","",$L197-$N197)</f>
        <v/>
      </c>
      <c r="P197" s="67">
        <f>IF($C197="","",IF(INDEX(AM_Cat,MATCH($C197,AM_Type,0))="SLABONLY","SLAB",IF($K197="","",IF($K197="STCG",IF(INDEX(AM_Cat,MATCH($C197,AM_Type,0))="EQ","EQ-ST","SLAB"),IF(INDEX(AM_Cat,MATCH($C197,AM_Type,0))="EQ","EQ-LT",IF(INDEX(AM_Cat,MATCH($C197,AM_Type,0))="PROP","PROP-LT","FLAT-LT"))))))</f>
        <v/>
      </c>
      <c r="Q197" s="71">
        <f>IF($C197="","",IF($P197="","",IF($P197="EQ-LT","pooled",IF($P197="EQ-ST",MAX(0,0.2*$O197),IF($P197="PROP-LT",IF($M197="",MAX(0,0.125*$O197),MAX(0,MIN(0.125*$O197,0.2*($L197-$M197)))),IF($P197="FLAT-LT",MAX(0,0.125*$O197),IF($P197="SLAB",MAX(0,Slab_Rate*$O197),"")))))))</f>
        <v/>
      </c>
    </row>
    <row r="198" ht="15" customHeight="1" s="37">
      <c r="A198" s="72">
        <f>IF($C198="","",ROW()-8)</f>
        <v/>
      </c>
      <c r="B198" s="75" t="n"/>
      <c r="C198" s="75" t="n"/>
      <c r="D198" s="76" t="n"/>
      <c r="E198" s="76" t="n"/>
      <c r="F198" s="77" t="n"/>
      <c r="G198" s="77" t="n"/>
      <c r="H198" s="77" t="n"/>
      <c r="I198" s="77" t="n"/>
      <c r="J198" s="72">
        <f>IF(OR($C198="",NOT(ISNUMBER($D198)),NOT(ISNUMBER($E198))),"",DATEDIF($D198,$E198,"m"))</f>
        <v/>
      </c>
      <c r="K198" s="72">
        <f>IF(OR($C198="",NOT(ISNUMBER($D198)),NOT(ISNUMBER($E198))),"",IF($E198&gt;EDATE($D198,INDEX(AM_LTm,MATCH($C198,AM_Type,0))),"LTCG","STCG"))</f>
        <v/>
      </c>
      <c r="L198" s="74">
        <f>IF($C198="","",$G198-$H198)</f>
        <v/>
      </c>
      <c r="M198" s="74">
        <f>IF(OR($C198="",NOT(ISNUMBER($D198)),NOT(ISNUMBER($E198))),"",IF(AND(INDEX(AM_Index,MATCH($C198,AM_Type,0))=1,$K198="LTCG",$D198&lt;DATE(2024,7,23),Resident="Yes"),$F198*INDEX(CII_Val,MATCH(IF(MONTH($E198)&gt;=4,YEAR($E198),YEAR($E198)-1),CII_Year,0))/INDEX(CII_Val,MATCH(MAX(2001,IF(MONTH($D198)&gt;=4,YEAR($D198),YEAR($D198)-1)),CII_Year,0)),""))</f>
        <v/>
      </c>
      <c r="N198" s="74">
        <f>IF($C198="","",IF(AND(INDEX(AM_Grand,MATCH($C198,AM_Type,0))=1,$K198="LTCG",ISNUMBER($D198),$D198&lt;DATE(2018,2,1),$I198&lt;&gt;""),MAX($F198,MIN($I198,$G198)),$F198))</f>
        <v/>
      </c>
      <c r="O198" s="74">
        <f>IF($C198="","",$L198-$N198)</f>
        <v/>
      </c>
      <c r="P198" s="72">
        <f>IF($C198="","",IF(INDEX(AM_Cat,MATCH($C198,AM_Type,0))="SLABONLY","SLAB",IF($K198="","",IF($K198="STCG",IF(INDEX(AM_Cat,MATCH($C198,AM_Type,0))="EQ","EQ-ST","SLAB"),IF(INDEX(AM_Cat,MATCH($C198,AM_Type,0))="EQ","EQ-LT",IF(INDEX(AM_Cat,MATCH($C198,AM_Type,0))="PROP","PROP-LT","FLAT-LT"))))))</f>
        <v/>
      </c>
      <c r="Q198" s="74">
        <f>IF($C198="","",IF($P198="","",IF($P198="EQ-LT","pooled",IF($P198="EQ-ST",MAX(0,0.2*$O198),IF($P198="PROP-LT",IF($M198="",MAX(0,0.125*$O198),MAX(0,MIN(0.125*$O198,0.2*($L198-$M198)))),IF($P198="FLAT-LT",MAX(0,0.125*$O198),IF($P198="SLAB",MAX(0,Slab_Rate*$O198),"")))))))</f>
        <v/>
      </c>
    </row>
    <row r="199" ht="15" customHeight="1" s="37">
      <c r="A199" s="67">
        <f>IF($C199="","",ROW()-8)</f>
        <v/>
      </c>
      <c r="B199" s="75" t="n"/>
      <c r="C199" s="75" t="n"/>
      <c r="D199" s="76" t="n"/>
      <c r="E199" s="76" t="n"/>
      <c r="F199" s="77" t="n"/>
      <c r="G199" s="77" t="n"/>
      <c r="H199" s="77" t="n"/>
      <c r="I199" s="77" t="n"/>
      <c r="J199" s="67">
        <f>IF(OR($C199="",NOT(ISNUMBER($D199)),NOT(ISNUMBER($E199))),"",DATEDIF($D199,$E199,"m"))</f>
        <v/>
      </c>
      <c r="K199" s="67">
        <f>IF(OR($C199="",NOT(ISNUMBER($D199)),NOT(ISNUMBER($E199))),"",IF($E199&gt;EDATE($D199,INDEX(AM_LTm,MATCH($C199,AM_Type,0))),"LTCG","STCG"))</f>
        <v/>
      </c>
      <c r="L199" s="71">
        <f>IF($C199="","",$G199-$H199)</f>
        <v/>
      </c>
      <c r="M199" s="71">
        <f>IF(OR($C199="",NOT(ISNUMBER($D199)),NOT(ISNUMBER($E199))),"",IF(AND(INDEX(AM_Index,MATCH($C199,AM_Type,0))=1,$K199="LTCG",$D199&lt;DATE(2024,7,23),Resident="Yes"),$F199*INDEX(CII_Val,MATCH(IF(MONTH($E199)&gt;=4,YEAR($E199),YEAR($E199)-1),CII_Year,0))/INDEX(CII_Val,MATCH(MAX(2001,IF(MONTH($D199)&gt;=4,YEAR($D199),YEAR($D199)-1)),CII_Year,0)),""))</f>
        <v/>
      </c>
      <c r="N199" s="71">
        <f>IF($C199="","",IF(AND(INDEX(AM_Grand,MATCH($C199,AM_Type,0))=1,$K199="LTCG",ISNUMBER($D199),$D199&lt;DATE(2018,2,1),$I199&lt;&gt;""),MAX($F199,MIN($I199,$G199)),$F199))</f>
        <v/>
      </c>
      <c r="O199" s="71">
        <f>IF($C199="","",$L199-$N199)</f>
        <v/>
      </c>
      <c r="P199" s="67">
        <f>IF($C199="","",IF(INDEX(AM_Cat,MATCH($C199,AM_Type,0))="SLABONLY","SLAB",IF($K199="","",IF($K199="STCG",IF(INDEX(AM_Cat,MATCH($C199,AM_Type,0))="EQ","EQ-ST","SLAB"),IF(INDEX(AM_Cat,MATCH($C199,AM_Type,0))="EQ","EQ-LT",IF(INDEX(AM_Cat,MATCH($C199,AM_Type,0))="PROP","PROP-LT","FLAT-LT"))))))</f>
        <v/>
      </c>
      <c r="Q199" s="71">
        <f>IF($C199="","",IF($P199="","",IF($P199="EQ-LT","pooled",IF($P199="EQ-ST",MAX(0,0.2*$O199),IF($P199="PROP-LT",IF($M199="",MAX(0,0.125*$O199),MAX(0,MIN(0.125*$O199,0.2*($L199-$M199)))),IF($P199="FLAT-LT",MAX(0,0.125*$O199),IF($P199="SLAB",MAX(0,Slab_Rate*$O199),"")))))))</f>
        <v/>
      </c>
    </row>
    <row r="200" ht="15" customHeight="1" s="37">
      <c r="A200" s="72">
        <f>IF($C200="","",ROW()-8)</f>
        <v/>
      </c>
      <c r="B200" s="75" t="n"/>
      <c r="C200" s="75" t="n"/>
      <c r="D200" s="76" t="n"/>
      <c r="E200" s="76" t="n"/>
      <c r="F200" s="77" t="n"/>
      <c r="G200" s="77" t="n"/>
      <c r="H200" s="77" t="n"/>
      <c r="I200" s="77" t="n"/>
      <c r="J200" s="72">
        <f>IF(OR($C200="",NOT(ISNUMBER($D200)),NOT(ISNUMBER($E200))),"",DATEDIF($D200,$E200,"m"))</f>
        <v/>
      </c>
      <c r="K200" s="72">
        <f>IF(OR($C200="",NOT(ISNUMBER($D200)),NOT(ISNUMBER($E200))),"",IF($E200&gt;EDATE($D200,INDEX(AM_LTm,MATCH($C200,AM_Type,0))),"LTCG","STCG"))</f>
        <v/>
      </c>
      <c r="L200" s="74">
        <f>IF($C200="","",$G200-$H200)</f>
        <v/>
      </c>
      <c r="M200" s="74">
        <f>IF(OR($C200="",NOT(ISNUMBER($D200)),NOT(ISNUMBER($E200))),"",IF(AND(INDEX(AM_Index,MATCH($C200,AM_Type,0))=1,$K200="LTCG",$D200&lt;DATE(2024,7,23),Resident="Yes"),$F200*INDEX(CII_Val,MATCH(IF(MONTH($E200)&gt;=4,YEAR($E200),YEAR($E200)-1),CII_Year,0))/INDEX(CII_Val,MATCH(MAX(2001,IF(MONTH($D200)&gt;=4,YEAR($D200),YEAR($D200)-1)),CII_Year,0)),""))</f>
        <v/>
      </c>
      <c r="N200" s="74">
        <f>IF($C200="","",IF(AND(INDEX(AM_Grand,MATCH($C200,AM_Type,0))=1,$K200="LTCG",ISNUMBER($D200),$D200&lt;DATE(2018,2,1),$I200&lt;&gt;""),MAX($F200,MIN($I200,$G200)),$F200))</f>
        <v/>
      </c>
      <c r="O200" s="74">
        <f>IF($C200="","",$L200-$N200)</f>
        <v/>
      </c>
      <c r="P200" s="72">
        <f>IF($C200="","",IF(INDEX(AM_Cat,MATCH($C200,AM_Type,0))="SLABONLY","SLAB",IF($K200="","",IF($K200="STCG",IF(INDEX(AM_Cat,MATCH($C200,AM_Type,0))="EQ","EQ-ST","SLAB"),IF(INDEX(AM_Cat,MATCH($C200,AM_Type,0))="EQ","EQ-LT",IF(INDEX(AM_Cat,MATCH($C200,AM_Type,0))="PROP","PROP-LT","FLAT-LT"))))))</f>
        <v/>
      </c>
      <c r="Q200" s="74">
        <f>IF($C200="","",IF($P200="","",IF($P200="EQ-LT","pooled",IF($P200="EQ-ST",MAX(0,0.2*$O200),IF($P200="PROP-LT",IF($M200="",MAX(0,0.125*$O200),MAX(0,MIN(0.125*$O200,0.2*($L200-$M200)))),IF($P200="FLAT-LT",MAX(0,0.125*$O200),IF($P200="SLAB",MAX(0,Slab_Rate*$O200),"")))))))</f>
        <v/>
      </c>
    </row>
    <row r="201" ht="15" customHeight="1" s="37">
      <c r="A201" s="67">
        <f>IF($C201="","",ROW()-8)</f>
        <v/>
      </c>
      <c r="B201" s="75" t="n"/>
      <c r="C201" s="75" t="n"/>
      <c r="D201" s="76" t="n"/>
      <c r="E201" s="76" t="n"/>
      <c r="F201" s="77" t="n"/>
      <c r="G201" s="77" t="n"/>
      <c r="H201" s="77" t="n"/>
      <c r="I201" s="77" t="n"/>
      <c r="J201" s="67">
        <f>IF(OR($C201="",NOT(ISNUMBER($D201)),NOT(ISNUMBER($E201))),"",DATEDIF($D201,$E201,"m"))</f>
        <v/>
      </c>
      <c r="K201" s="67">
        <f>IF(OR($C201="",NOT(ISNUMBER($D201)),NOT(ISNUMBER($E201))),"",IF($E201&gt;EDATE($D201,INDEX(AM_LTm,MATCH($C201,AM_Type,0))),"LTCG","STCG"))</f>
        <v/>
      </c>
      <c r="L201" s="71">
        <f>IF($C201="","",$G201-$H201)</f>
        <v/>
      </c>
      <c r="M201" s="71">
        <f>IF(OR($C201="",NOT(ISNUMBER($D201)),NOT(ISNUMBER($E201))),"",IF(AND(INDEX(AM_Index,MATCH($C201,AM_Type,0))=1,$K201="LTCG",$D201&lt;DATE(2024,7,23),Resident="Yes"),$F201*INDEX(CII_Val,MATCH(IF(MONTH($E201)&gt;=4,YEAR($E201),YEAR($E201)-1),CII_Year,0))/INDEX(CII_Val,MATCH(MAX(2001,IF(MONTH($D201)&gt;=4,YEAR($D201),YEAR($D201)-1)),CII_Year,0)),""))</f>
        <v/>
      </c>
      <c r="N201" s="71">
        <f>IF($C201="","",IF(AND(INDEX(AM_Grand,MATCH($C201,AM_Type,0))=1,$K201="LTCG",ISNUMBER($D201),$D201&lt;DATE(2018,2,1),$I201&lt;&gt;""),MAX($F201,MIN($I201,$G201)),$F201))</f>
        <v/>
      </c>
      <c r="O201" s="71">
        <f>IF($C201="","",$L201-$N201)</f>
        <v/>
      </c>
      <c r="P201" s="67">
        <f>IF($C201="","",IF(INDEX(AM_Cat,MATCH($C201,AM_Type,0))="SLABONLY","SLAB",IF($K201="","",IF($K201="STCG",IF(INDEX(AM_Cat,MATCH($C201,AM_Type,0))="EQ","EQ-ST","SLAB"),IF(INDEX(AM_Cat,MATCH($C201,AM_Type,0))="EQ","EQ-LT",IF(INDEX(AM_Cat,MATCH($C201,AM_Type,0))="PROP","PROP-LT","FLAT-LT"))))))</f>
        <v/>
      </c>
      <c r="Q201" s="71">
        <f>IF($C201="","",IF($P201="","",IF($P201="EQ-LT","pooled",IF($P201="EQ-ST",MAX(0,0.2*$O201),IF($P201="PROP-LT",IF($M201="",MAX(0,0.125*$O201),MAX(0,MIN(0.125*$O201,0.2*($L201-$M201)))),IF($P201="FLAT-LT",MAX(0,0.125*$O201),IF($P201="SLAB",MAX(0,Slab_Rate*$O201),"")))))))</f>
        <v/>
      </c>
    </row>
    <row r="202" ht="15" customHeight="1" s="37">
      <c r="A202" s="72">
        <f>IF($C202="","",ROW()-8)</f>
        <v/>
      </c>
      <c r="B202" s="75" t="n"/>
      <c r="C202" s="75" t="n"/>
      <c r="D202" s="76" t="n"/>
      <c r="E202" s="76" t="n"/>
      <c r="F202" s="77" t="n"/>
      <c r="G202" s="77" t="n"/>
      <c r="H202" s="77" t="n"/>
      <c r="I202" s="77" t="n"/>
      <c r="J202" s="72">
        <f>IF(OR($C202="",NOT(ISNUMBER($D202)),NOT(ISNUMBER($E202))),"",DATEDIF($D202,$E202,"m"))</f>
        <v/>
      </c>
      <c r="K202" s="72">
        <f>IF(OR($C202="",NOT(ISNUMBER($D202)),NOT(ISNUMBER($E202))),"",IF($E202&gt;EDATE($D202,INDEX(AM_LTm,MATCH($C202,AM_Type,0))),"LTCG","STCG"))</f>
        <v/>
      </c>
      <c r="L202" s="74">
        <f>IF($C202="","",$G202-$H202)</f>
        <v/>
      </c>
      <c r="M202" s="74">
        <f>IF(OR($C202="",NOT(ISNUMBER($D202)),NOT(ISNUMBER($E202))),"",IF(AND(INDEX(AM_Index,MATCH($C202,AM_Type,0))=1,$K202="LTCG",$D202&lt;DATE(2024,7,23),Resident="Yes"),$F202*INDEX(CII_Val,MATCH(IF(MONTH($E202)&gt;=4,YEAR($E202),YEAR($E202)-1),CII_Year,0))/INDEX(CII_Val,MATCH(MAX(2001,IF(MONTH($D202)&gt;=4,YEAR($D202),YEAR($D202)-1)),CII_Year,0)),""))</f>
        <v/>
      </c>
      <c r="N202" s="74">
        <f>IF($C202="","",IF(AND(INDEX(AM_Grand,MATCH($C202,AM_Type,0))=1,$K202="LTCG",ISNUMBER($D202),$D202&lt;DATE(2018,2,1),$I202&lt;&gt;""),MAX($F202,MIN($I202,$G202)),$F202))</f>
        <v/>
      </c>
      <c r="O202" s="74">
        <f>IF($C202="","",$L202-$N202)</f>
        <v/>
      </c>
      <c r="P202" s="72">
        <f>IF($C202="","",IF(INDEX(AM_Cat,MATCH($C202,AM_Type,0))="SLABONLY","SLAB",IF($K202="","",IF($K202="STCG",IF(INDEX(AM_Cat,MATCH($C202,AM_Type,0))="EQ","EQ-ST","SLAB"),IF(INDEX(AM_Cat,MATCH($C202,AM_Type,0))="EQ","EQ-LT",IF(INDEX(AM_Cat,MATCH($C202,AM_Type,0))="PROP","PROP-LT","FLAT-LT"))))))</f>
        <v/>
      </c>
      <c r="Q202" s="74">
        <f>IF($C202="","",IF($P202="","",IF($P202="EQ-LT","pooled",IF($P202="EQ-ST",MAX(0,0.2*$O202),IF($P202="PROP-LT",IF($M202="",MAX(0,0.125*$O202),MAX(0,MIN(0.125*$O202,0.2*($L202-$M202)))),IF($P202="FLAT-LT",MAX(0,0.125*$O202),IF($P202="SLAB",MAX(0,Slab_Rate*$O202),"")))))))</f>
        <v/>
      </c>
    </row>
    <row r="203" ht="15" customHeight="1" s="37">
      <c r="A203" s="67">
        <f>IF($C203="","",ROW()-8)</f>
        <v/>
      </c>
      <c r="B203" s="75" t="n"/>
      <c r="C203" s="75" t="n"/>
      <c r="D203" s="76" t="n"/>
      <c r="E203" s="76" t="n"/>
      <c r="F203" s="77" t="n"/>
      <c r="G203" s="77" t="n"/>
      <c r="H203" s="77" t="n"/>
      <c r="I203" s="77" t="n"/>
      <c r="J203" s="67">
        <f>IF(OR($C203="",NOT(ISNUMBER($D203)),NOT(ISNUMBER($E203))),"",DATEDIF($D203,$E203,"m"))</f>
        <v/>
      </c>
      <c r="K203" s="67">
        <f>IF(OR($C203="",NOT(ISNUMBER($D203)),NOT(ISNUMBER($E203))),"",IF($E203&gt;EDATE($D203,INDEX(AM_LTm,MATCH($C203,AM_Type,0))),"LTCG","STCG"))</f>
        <v/>
      </c>
      <c r="L203" s="71">
        <f>IF($C203="","",$G203-$H203)</f>
        <v/>
      </c>
      <c r="M203" s="71">
        <f>IF(OR($C203="",NOT(ISNUMBER($D203)),NOT(ISNUMBER($E203))),"",IF(AND(INDEX(AM_Index,MATCH($C203,AM_Type,0))=1,$K203="LTCG",$D203&lt;DATE(2024,7,23),Resident="Yes"),$F203*INDEX(CII_Val,MATCH(IF(MONTH($E203)&gt;=4,YEAR($E203),YEAR($E203)-1),CII_Year,0))/INDEX(CII_Val,MATCH(MAX(2001,IF(MONTH($D203)&gt;=4,YEAR($D203),YEAR($D203)-1)),CII_Year,0)),""))</f>
        <v/>
      </c>
      <c r="N203" s="71">
        <f>IF($C203="","",IF(AND(INDEX(AM_Grand,MATCH($C203,AM_Type,0))=1,$K203="LTCG",ISNUMBER($D203),$D203&lt;DATE(2018,2,1),$I203&lt;&gt;""),MAX($F203,MIN($I203,$G203)),$F203))</f>
        <v/>
      </c>
      <c r="O203" s="71">
        <f>IF($C203="","",$L203-$N203)</f>
        <v/>
      </c>
      <c r="P203" s="67">
        <f>IF($C203="","",IF(INDEX(AM_Cat,MATCH($C203,AM_Type,0))="SLABONLY","SLAB",IF($K203="","",IF($K203="STCG",IF(INDEX(AM_Cat,MATCH($C203,AM_Type,0))="EQ","EQ-ST","SLAB"),IF(INDEX(AM_Cat,MATCH($C203,AM_Type,0))="EQ","EQ-LT",IF(INDEX(AM_Cat,MATCH($C203,AM_Type,0))="PROP","PROP-LT","FLAT-LT"))))))</f>
        <v/>
      </c>
      <c r="Q203" s="71">
        <f>IF($C203="","",IF($P203="","",IF($P203="EQ-LT","pooled",IF($P203="EQ-ST",MAX(0,0.2*$O203),IF($P203="PROP-LT",IF($M203="",MAX(0,0.125*$O203),MAX(0,MIN(0.125*$O203,0.2*($L203-$M203)))),IF($P203="FLAT-LT",MAX(0,0.125*$O203),IF($P203="SLAB",MAX(0,Slab_Rate*$O203),"")))))))</f>
        <v/>
      </c>
    </row>
    <row r="204" ht="15" customHeight="1" s="37">
      <c r="A204" s="72">
        <f>IF($C204="","",ROW()-8)</f>
        <v/>
      </c>
      <c r="B204" s="75" t="n"/>
      <c r="C204" s="75" t="n"/>
      <c r="D204" s="76" t="n"/>
      <c r="E204" s="76" t="n"/>
      <c r="F204" s="77" t="n"/>
      <c r="G204" s="77" t="n"/>
      <c r="H204" s="77" t="n"/>
      <c r="I204" s="77" t="n"/>
      <c r="J204" s="72">
        <f>IF(OR($C204="",NOT(ISNUMBER($D204)),NOT(ISNUMBER($E204))),"",DATEDIF($D204,$E204,"m"))</f>
        <v/>
      </c>
      <c r="K204" s="72">
        <f>IF(OR($C204="",NOT(ISNUMBER($D204)),NOT(ISNUMBER($E204))),"",IF($E204&gt;EDATE($D204,INDEX(AM_LTm,MATCH($C204,AM_Type,0))),"LTCG","STCG"))</f>
        <v/>
      </c>
      <c r="L204" s="74">
        <f>IF($C204="","",$G204-$H204)</f>
        <v/>
      </c>
      <c r="M204" s="74">
        <f>IF(OR($C204="",NOT(ISNUMBER($D204)),NOT(ISNUMBER($E204))),"",IF(AND(INDEX(AM_Index,MATCH($C204,AM_Type,0))=1,$K204="LTCG",$D204&lt;DATE(2024,7,23),Resident="Yes"),$F204*INDEX(CII_Val,MATCH(IF(MONTH($E204)&gt;=4,YEAR($E204),YEAR($E204)-1),CII_Year,0))/INDEX(CII_Val,MATCH(MAX(2001,IF(MONTH($D204)&gt;=4,YEAR($D204),YEAR($D204)-1)),CII_Year,0)),""))</f>
        <v/>
      </c>
      <c r="N204" s="74">
        <f>IF($C204="","",IF(AND(INDEX(AM_Grand,MATCH($C204,AM_Type,0))=1,$K204="LTCG",ISNUMBER($D204),$D204&lt;DATE(2018,2,1),$I204&lt;&gt;""),MAX($F204,MIN($I204,$G204)),$F204))</f>
        <v/>
      </c>
      <c r="O204" s="74">
        <f>IF($C204="","",$L204-$N204)</f>
        <v/>
      </c>
      <c r="P204" s="72">
        <f>IF($C204="","",IF(INDEX(AM_Cat,MATCH($C204,AM_Type,0))="SLABONLY","SLAB",IF($K204="","",IF($K204="STCG",IF(INDEX(AM_Cat,MATCH($C204,AM_Type,0))="EQ","EQ-ST","SLAB"),IF(INDEX(AM_Cat,MATCH($C204,AM_Type,0))="EQ","EQ-LT",IF(INDEX(AM_Cat,MATCH($C204,AM_Type,0))="PROP","PROP-LT","FLAT-LT"))))))</f>
        <v/>
      </c>
      <c r="Q204" s="74">
        <f>IF($C204="","",IF($P204="","",IF($P204="EQ-LT","pooled",IF($P204="EQ-ST",MAX(0,0.2*$O204),IF($P204="PROP-LT",IF($M204="",MAX(0,0.125*$O204),MAX(0,MIN(0.125*$O204,0.2*($L204-$M204)))),IF($P204="FLAT-LT",MAX(0,0.125*$O204),IF($P204="SLAB",MAX(0,Slab_Rate*$O204),"")))))))</f>
        <v/>
      </c>
    </row>
    <row r="205" ht="15" customHeight="1" s="37">
      <c r="A205" s="67">
        <f>IF($C205="","",ROW()-8)</f>
        <v/>
      </c>
      <c r="B205" s="75" t="n"/>
      <c r="C205" s="75" t="n"/>
      <c r="D205" s="76" t="n"/>
      <c r="E205" s="76" t="n"/>
      <c r="F205" s="77" t="n"/>
      <c r="G205" s="77" t="n"/>
      <c r="H205" s="77" t="n"/>
      <c r="I205" s="77" t="n"/>
      <c r="J205" s="67">
        <f>IF(OR($C205="",NOT(ISNUMBER($D205)),NOT(ISNUMBER($E205))),"",DATEDIF($D205,$E205,"m"))</f>
        <v/>
      </c>
      <c r="K205" s="67">
        <f>IF(OR($C205="",NOT(ISNUMBER($D205)),NOT(ISNUMBER($E205))),"",IF($E205&gt;EDATE($D205,INDEX(AM_LTm,MATCH($C205,AM_Type,0))),"LTCG","STCG"))</f>
        <v/>
      </c>
      <c r="L205" s="71">
        <f>IF($C205="","",$G205-$H205)</f>
        <v/>
      </c>
      <c r="M205" s="71">
        <f>IF(OR($C205="",NOT(ISNUMBER($D205)),NOT(ISNUMBER($E205))),"",IF(AND(INDEX(AM_Index,MATCH($C205,AM_Type,0))=1,$K205="LTCG",$D205&lt;DATE(2024,7,23),Resident="Yes"),$F205*INDEX(CII_Val,MATCH(IF(MONTH($E205)&gt;=4,YEAR($E205),YEAR($E205)-1),CII_Year,0))/INDEX(CII_Val,MATCH(MAX(2001,IF(MONTH($D205)&gt;=4,YEAR($D205),YEAR($D205)-1)),CII_Year,0)),""))</f>
        <v/>
      </c>
      <c r="N205" s="71">
        <f>IF($C205="","",IF(AND(INDEX(AM_Grand,MATCH($C205,AM_Type,0))=1,$K205="LTCG",ISNUMBER($D205),$D205&lt;DATE(2018,2,1),$I205&lt;&gt;""),MAX($F205,MIN($I205,$G205)),$F205))</f>
        <v/>
      </c>
      <c r="O205" s="71">
        <f>IF($C205="","",$L205-$N205)</f>
        <v/>
      </c>
      <c r="P205" s="67">
        <f>IF($C205="","",IF(INDEX(AM_Cat,MATCH($C205,AM_Type,0))="SLABONLY","SLAB",IF($K205="","",IF($K205="STCG",IF(INDEX(AM_Cat,MATCH($C205,AM_Type,0))="EQ","EQ-ST","SLAB"),IF(INDEX(AM_Cat,MATCH($C205,AM_Type,0))="EQ","EQ-LT",IF(INDEX(AM_Cat,MATCH($C205,AM_Type,0))="PROP","PROP-LT","FLAT-LT"))))))</f>
        <v/>
      </c>
      <c r="Q205" s="71">
        <f>IF($C205="","",IF($P205="","",IF($P205="EQ-LT","pooled",IF($P205="EQ-ST",MAX(0,0.2*$O205),IF($P205="PROP-LT",IF($M205="",MAX(0,0.125*$O205),MAX(0,MIN(0.125*$O205,0.2*($L205-$M205)))),IF($P205="FLAT-LT",MAX(0,0.125*$O205),IF($P205="SLAB",MAX(0,Slab_Rate*$O205),"")))))))</f>
        <v/>
      </c>
    </row>
    <row r="206" ht="15" customHeight="1" s="37">
      <c r="A206" s="72">
        <f>IF($C206="","",ROW()-8)</f>
        <v/>
      </c>
      <c r="B206" s="75" t="n"/>
      <c r="C206" s="75" t="n"/>
      <c r="D206" s="76" t="n"/>
      <c r="E206" s="76" t="n"/>
      <c r="F206" s="77" t="n"/>
      <c r="G206" s="77" t="n"/>
      <c r="H206" s="77" t="n"/>
      <c r="I206" s="77" t="n"/>
      <c r="J206" s="72">
        <f>IF(OR($C206="",NOT(ISNUMBER($D206)),NOT(ISNUMBER($E206))),"",DATEDIF($D206,$E206,"m"))</f>
        <v/>
      </c>
      <c r="K206" s="72">
        <f>IF(OR($C206="",NOT(ISNUMBER($D206)),NOT(ISNUMBER($E206))),"",IF($E206&gt;EDATE($D206,INDEX(AM_LTm,MATCH($C206,AM_Type,0))),"LTCG","STCG"))</f>
        <v/>
      </c>
      <c r="L206" s="74">
        <f>IF($C206="","",$G206-$H206)</f>
        <v/>
      </c>
      <c r="M206" s="74">
        <f>IF(OR($C206="",NOT(ISNUMBER($D206)),NOT(ISNUMBER($E206))),"",IF(AND(INDEX(AM_Index,MATCH($C206,AM_Type,0))=1,$K206="LTCG",$D206&lt;DATE(2024,7,23),Resident="Yes"),$F206*INDEX(CII_Val,MATCH(IF(MONTH($E206)&gt;=4,YEAR($E206),YEAR($E206)-1),CII_Year,0))/INDEX(CII_Val,MATCH(MAX(2001,IF(MONTH($D206)&gt;=4,YEAR($D206),YEAR($D206)-1)),CII_Year,0)),""))</f>
        <v/>
      </c>
      <c r="N206" s="74">
        <f>IF($C206="","",IF(AND(INDEX(AM_Grand,MATCH($C206,AM_Type,0))=1,$K206="LTCG",ISNUMBER($D206),$D206&lt;DATE(2018,2,1),$I206&lt;&gt;""),MAX($F206,MIN($I206,$G206)),$F206))</f>
        <v/>
      </c>
      <c r="O206" s="74">
        <f>IF($C206="","",$L206-$N206)</f>
        <v/>
      </c>
      <c r="P206" s="72">
        <f>IF($C206="","",IF(INDEX(AM_Cat,MATCH($C206,AM_Type,0))="SLABONLY","SLAB",IF($K206="","",IF($K206="STCG",IF(INDEX(AM_Cat,MATCH($C206,AM_Type,0))="EQ","EQ-ST","SLAB"),IF(INDEX(AM_Cat,MATCH($C206,AM_Type,0))="EQ","EQ-LT",IF(INDEX(AM_Cat,MATCH($C206,AM_Type,0))="PROP","PROP-LT","FLAT-LT"))))))</f>
        <v/>
      </c>
      <c r="Q206" s="74">
        <f>IF($C206="","",IF($P206="","",IF($P206="EQ-LT","pooled",IF($P206="EQ-ST",MAX(0,0.2*$O206),IF($P206="PROP-LT",IF($M206="",MAX(0,0.125*$O206),MAX(0,MIN(0.125*$O206,0.2*($L206-$M206)))),IF($P206="FLAT-LT",MAX(0,0.125*$O206),IF($P206="SLAB",MAX(0,Slab_Rate*$O206),"")))))))</f>
        <v/>
      </c>
    </row>
    <row r="207" ht="15" customHeight="1" s="37">
      <c r="A207" s="67">
        <f>IF($C207="","",ROW()-8)</f>
        <v/>
      </c>
      <c r="B207" s="75" t="n"/>
      <c r="C207" s="75" t="n"/>
      <c r="D207" s="76" t="n"/>
      <c r="E207" s="76" t="n"/>
      <c r="F207" s="77" t="n"/>
      <c r="G207" s="77" t="n"/>
      <c r="H207" s="77" t="n"/>
      <c r="I207" s="77" t="n"/>
      <c r="J207" s="67">
        <f>IF(OR($C207="",NOT(ISNUMBER($D207)),NOT(ISNUMBER($E207))),"",DATEDIF($D207,$E207,"m"))</f>
        <v/>
      </c>
      <c r="K207" s="67">
        <f>IF(OR($C207="",NOT(ISNUMBER($D207)),NOT(ISNUMBER($E207))),"",IF($E207&gt;EDATE($D207,INDEX(AM_LTm,MATCH($C207,AM_Type,0))),"LTCG","STCG"))</f>
        <v/>
      </c>
      <c r="L207" s="71">
        <f>IF($C207="","",$G207-$H207)</f>
        <v/>
      </c>
      <c r="M207" s="71">
        <f>IF(OR($C207="",NOT(ISNUMBER($D207)),NOT(ISNUMBER($E207))),"",IF(AND(INDEX(AM_Index,MATCH($C207,AM_Type,0))=1,$K207="LTCG",$D207&lt;DATE(2024,7,23),Resident="Yes"),$F207*INDEX(CII_Val,MATCH(IF(MONTH($E207)&gt;=4,YEAR($E207),YEAR($E207)-1),CII_Year,0))/INDEX(CII_Val,MATCH(MAX(2001,IF(MONTH($D207)&gt;=4,YEAR($D207),YEAR($D207)-1)),CII_Year,0)),""))</f>
        <v/>
      </c>
      <c r="N207" s="71">
        <f>IF($C207="","",IF(AND(INDEX(AM_Grand,MATCH($C207,AM_Type,0))=1,$K207="LTCG",ISNUMBER($D207),$D207&lt;DATE(2018,2,1),$I207&lt;&gt;""),MAX($F207,MIN($I207,$G207)),$F207))</f>
        <v/>
      </c>
      <c r="O207" s="71">
        <f>IF($C207="","",$L207-$N207)</f>
        <v/>
      </c>
      <c r="P207" s="67">
        <f>IF($C207="","",IF(INDEX(AM_Cat,MATCH($C207,AM_Type,0))="SLABONLY","SLAB",IF($K207="","",IF($K207="STCG",IF(INDEX(AM_Cat,MATCH($C207,AM_Type,0))="EQ","EQ-ST","SLAB"),IF(INDEX(AM_Cat,MATCH($C207,AM_Type,0))="EQ","EQ-LT",IF(INDEX(AM_Cat,MATCH($C207,AM_Type,0))="PROP","PROP-LT","FLAT-LT"))))))</f>
        <v/>
      </c>
      <c r="Q207" s="71">
        <f>IF($C207="","",IF($P207="","",IF($P207="EQ-LT","pooled",IF($P207="EQ-ST",MAX(0,0.2*$O207),IF($P207="PROP-LT",IF($M207="",MAX(0,0.125*$O207),MAX(0,MIN(0.125*$O207,0.2*($L207-$M207)))),IF($P207="FLAT-LT",MAX(0,0.125*$O207),IF($P207="SLAB",MAX(0,Slab_Rate*$O207),"")))))))</f>
        <v/>
      </c>
    </row>
    <row r="208" ht="15" customHeight="1" s="37">
      <c r="A208" s="72">
        <f>IF($C208="","",ROW()-8)</f>
        <v/>
      </c>
      <c r="B208" s="75" t="n"/>
      <c r="C208" s="75" t="n"/>
      <c r="D208" s="76" t="n"/>
      <c r="E208" s="76" t="n"/>
      <c r="F208" s="77" t="n"/>
      <c r="G208" s="77" t="n"/>
      <c r="H208" s="77" t="n"/>
      <c r="I208" s="77" t="n"/>
      <c r="J208" s="72">
        <f>IF(OR($C208="",NOT(ISNUMBER($D208)),NOT(ISNUMBER($E208))),"",DATEDIF($D208,$E208,"m"))</f>
        <v/>
      </c>
      <c r="K208" s="72">
        <f>IF(OR($C208="",NOT(ISNUMBER($D208)),NOT(ISNUMBER($E208))),"",IF($E208&gt;EDATE($D208,INDEX(AM_LTm,MATCH($C208,AM_Type,0))),"LTCG","STCG"))</f>
        <v/>
      </c>
      <c r="L208" s="74">
        <f>IF($C208="","",$G208-$H208)</f>
        <v/>
      </c>
      <c r="M208" s="74">
        <f>IF(OR($C208="",NOT(ISNUMBER($D208)),NOT(ISNUMBER($E208))),"",IF(AND(INDEX(AM_Index,MATCH($C208,AM_Type,0))=1,$K208="LTCG",$D208&lt;DATE(2024,7,23),Resident="Yes"),$F208*INDEX(CII_Val,MATCH(IF(MONTH($E208)&gt;=4,YEAR($E208),YEAR($E208)-1),CII_Year,0))/INDEX(CII_Val,MATCH(MAX(2001,IF(MONTH($D208)&gt;=4,YEAR($D208),YEAR($D208)-1)),CII_Year,0)),""))</f>
        <v/>
      </c>
      <c r="N208" s="74">
        <f>IF($C208="","",IF(AND(INDEX(AM_Grand,MATCH($C208,AM_Type,0))=1,$K208="LTCG",ISNUMBER($D208),$D208&lt;DATE(2018,2,1),$I208&lt;&gt;""),MAX($F208,MIN($I208,$G208)),$F208))</f>
        <v/>
      </c>
      <c r="O208" s="74">
        <f>IF($C208="","",$L208-$N208)</f>
        <v/>
      </c>
      <c r="P208" s="72">
        <f>IF($C208="","",IF(INDEX(AM_Cat,MATCH($C208,AM_Type,0))="SLABONLY","SLAB",IF($K208="","",IF($K208="STCG",IF(INDEX(AM_Cat,MATCH($C208,AM_Type,0))="EQ","EQ-ST","SLAB"),IF(INDEX(AM_Cat,MATCH($C208,AM_Type,0))="EQ","EQ-LT",IF(INDEX(AM_Cat,MATCH($C208,AM_Type,0))="PROP","PROP-LT","FLAT-LT"))))))</f>
        <v/>
      </c>
      <c r="Q208" s="74">
        <f>IF($C208="","",IF($P208="","",IF($P208="EQ-LT","pooled",IF($P208="EQ-ST",MAX(0,0.2*$O208),IF($P208="PROP-LT",IF($M208="",MAX(0,0.125*$O208),MAX(0,MIN(0.125*$O208,0.2*($L208-$M208)))),IF($P208="FLAT-LT",MAX(0,0.125*$O208),IF($P208="SLAB",MAX(0,Slab_Rate*$O208),"")))))))</f>
        <v/>
      </c>
    </row>
  </sheetData>
  <sheetProtection selectLockedCells="0" selectUnlockedCells="0" sheet="1" objects="0" insertRows="1" insertHyperlinks="1" autoFilter="0" scenarios="0" formatColumns="0" deleteColumns="1" insertColumns="0" pivotTables="1" deleteRows="1" formatCells="0" formatRows="0" sort="0" password="BBBC"/>
  <mergeCells count="7">
    <mergeCell ref="I6:Q6"/>
    <mergeCell ref="D6:H6"/>
    <mergeCell ref="A3:Q3"/>
    <mergeCell ref="A2:Q2"/>
    <mergeCell ref="A6:B6"/>
    <mergeCell ref="A1:Q1"/>
    <mergeCell ref="A5:Q5"/>
  </mergeCells>
  <dataValidations count="5">
    <dataValidation sqref="C9:C208" showDropDown="0" showInputMessage="0" showErrorMessage="1" allowBlank="1" errorTitle="Pick an asset type" error="Choose an asset type from the dropdown - the whole engine keys off it." type="list">
      <formula1>AM_Type</formula1>
    </dataValidation>
    <dataValidation sqref="D9:D208" showDropDown="0" showInputMessage="0" showErrorMessage="1" allowBlank="1" errorTitle="Enter a real date" error="Type a real date (e.g. 15-Jun-2016 or 15/06/2016), not text. It must be on or before the end of the selected financial year." type="custom">
      <formula1>=AND(ISNUMBER(D9),D9&gt;=DATE(1981,4,1),D9&lt;=FY_End)</formula1>
    </dataValidation>
    <dataValidation sqref="E9:E208" showDropDown="0" showInputMessage="0" showErrorMessage="1" allowBlank="1" errorTitle="Sale date must fall in the selected FY" error="The sale date must be a real date, must not be earlier than the purchase date, and must fall inside the financial year selected in cell C6. Change C6 if you are working on the other year." type="custom">
      <formula1>=AND(ISNUMBER(E9),E9&gt;=FY_Start,E9&lt;=FY_End,E9&gt;=D9)</formula1>
    </dataValidation>
    <dataValidation sqref="C6" showDropDown="0" showInputMessage="0" showErrorMessage="1" allowBlank="0" type="list">
      <formula1>FY_List</formula1>
    </dataValidation>
    <dataValidation sqref="F9:I208" showDropDown="0" showInputMessage="0" showErrorMessage="1" allowBlank="1" errorTitle="Amounts cannot be negative" error="Enter the amount as a positive number. A loss comes out of the maths, not the input." type="decimal" operator="greaterThanOrEqual">
      <formula1>0</formula1>
    </dataValidation>
  </dataValidations>
  <printOptions horizontalCentered="1"/>
  <pageMargins left="0.35" right="0.35" top="0.45" bottom="0.45" header="0.511811023622047" footer="0.511811023622047"/>
  <pageSetup orientation="landscape" paperSize="9" fitToHeight="0" fitToWidth="1" horizontalDpi="300" verticalDpi="300"/>
</worksheet>
</file>

<file path=xl/worksheets/sheet3.xml><?xml version="1.0" encoding="utf-8"?>
<worksheet xmlns="http://schemas.openxmlformats.org/spreadsheetml/2006/main">
  <sheetPr>
    <outlinePr summaryBelow="1" summaryRight="1"/>
    <pageSetUpPr fitToPage="1"/>
  </sheetPr>
  <dimension ref="A1:T60"/>
  <sheetViews>
    <sheetView showGridLines="0" zoomScaleNormal="100" workbookViewId="0">
      <selection activeCell="B5" sqref="B5"/>
    </sheetView>
  </sheetViews>
  <sheetFormatPr baseColWidth="8" defaultColWidth="8.6640625" defaultRowHeight="14.25" outlineLevelCol="0"/>
  <cols>
    <col width="4" customWidth="1" style="37" min="1" max="1"/>
    <col width="58" customWidth="1" style="37" min="2" max="2"/>
    <col width="16" customWidth="1" style="37" min="3" max="5"/>
    <col width="14" customWidth="1" style="37" min="4" max="4"/>
    <col width="16" customWidth="1" style="37" min="5" max="5"/>
    <col width="9" customWidth="1" style="37" min="6" max="7"/>
    <col width="18" customWidth="1" style="37" min="7" max="7"/>
  </cols>
  <sheetData>
    <row r="1" ht="27.75" customHeight="1" s="37">
      <c r="A1" s="78" t="inlineStr">
        <is>
          <t>CalcGuru</t>
        </is>
      </c>
      <c r="H1" s="79" t="n"/>
      <c r="I1" s="79" t="n"/>
      <c r="J1" s="79" t="n"/>
      <c r="K1" s="79" t="n"/>
      <c r="L1" s="79" t="n"/>
      <c r="M1" s="79" t="n"/>
      <c r="N1" s="79" t="n"/>
      <c r="O1" s="79" t="n"/>
      <c r="P1" s="79" t="n"/>
      <c r="Q1" s="79" t="n"/>
      <c r="R1" s="79" t="n"/>
      <c r="S1" s="79" t="n"/>
      <c r="T1" s="79" t="n"/>
    </row>
    <row r="2" ht="19.5" customHeight="1" s="37">
      <c r="A2" s="80" t="inlineStr">
        <is>
          <t>Capital Gains - Tax Summary</t>
        </is>
      </c>
      <c r="H2" s="79" t="n"/>
      <c r="I2" s="79" t="n"/>
      <c r="J2" s="79" t="n"/>
      <c r="K2" s="79" t="n"/>
      <c r="L2" s="79" t="n"/>
      <c r="M2" s="79" t="n"/>
      <c r="N2" s="79" t="n"/>
      <c r="O2" s="79" t="n"/>
      <c r="P2" s="79" t="n"/>
      <c r="Q2" s="79" t="n"/>
      <c r="R2" s="79" t="n"/>
      <c r="S2" s="79" t="n"/>
      <c r="T2" s="79" t="n"/>
    </row>
    <row r="3" ht="15.75" customHeight="1" s="37">
      <c r="A3" s="81">
        <f>"Auto-aggregated from the CG Register   |   "&amp;FY_Sel&amp;"  ("&amp;AY_Label&amp;")   |   "&amp;Act_Label</f>
        <v/>
      </c>
      <c r="H3" s="79" t="n"/>
      <c r="I3" s="79" t="n"/>
      <c r="J3" s="79" t="n"/>
      <c r="K3" s="79" t="n"/>
      <c r="L3" s="79" t="n"/>
      <c r="M3" s="79" t="n"/>
      <c r="N3" s="79" t="n"/>
      <c r="O3" s="79" t="n"/>
      <c r="P3" s="79" t="n"/>
      <c r="Q3" s="79" t="n"/>
      <c r="R3" s="79" t="n"/>
      <c r="S3" s="79" t="n"/>
      <c r="T3" s="79" t="n"/>
    </row>
    <row r="4">
      <c r="A4" s="79" t="n"/>
      <c r="B4" s="79" t="n"/>
      <c r="C4" s="79" t="n"/>
      <c r="D4" s="79" t="n"/>
      <c r="E4" s="79" t="n"/>
      <c r="F4" s="79" t="n"/>
      <c r="G4" s="79" t="n"/>
      <c r="H4" s="79" t="n"/>
      <c r="I4" s="79" t="n"/>
      <c r="J4" s="79" t="n"/>
      <c r="K4" s="79" t="n"/>
      <c r="L4" s="79" t="n"/>
      <c r="M4" s="79" t="n"/>
      <c r="N4" s="79" t="n"/>
      <c r="O4" s="79" t="n"/>
      <c r="P4" s="79" t="n"/>
      <c r="Q4" s="79" t="n"/>
      <c r="R4" s="79" t="n"/>
      <c r="S4" s="79" t="n"/>
      <c r="T4" s="79" t="n"/>
    </row>
    <row r="5" ht="22" customHeight="1" s="37">
      <c r="A5" s="79" t="n"/>
      <c r="B5" s="82" t="inlineStr">
        <is>
          <t>Your applicable slab rate</t>
        </is>
      </c>
      <c r="D5" s="83" t="n">
        <v>0.3</v>
      </c>
      <c r="E5" s="84" t="inlineStr">
        <is>
          <t>Used for slab-taxed gains: STCG on property / gold / other assets, and debt-fund gains u/s 50AA.</t>
        </is>
      </c>
      <c r="H5" s="79" t="n"/>
      <c r="I5" s="79" t="n"/>
      <c r="J5" s="79" t="n"/>
      <c r="K5" s="79" t="n"/>
      <c r="L5" s="79" t="n"/>
      <c r="M5" s="79" t="n"/>
      <c r="N5" s="79" t="n"/>
      <c r="O5" s="79" t="n"/>
      <c r="P5" s="79" t="n"/>
      <c r="Q5" s="79" t="n"/>
      <c r="R5" s="79" t="n"/>
      <c r="S5" s="79" t="n"/>
      <c r="T5" s="79" t="n"/>
    </row>
    <row r="6" ht="22" customHeight="1" s="37">
      <c r="A6" s="79" t="n"/>
      <c r="B6" s="82" t="inlineStr">
        <is>
          <t>Are you a Resident Individual / HUF?</t>
        </is>
      </c>
      <c r="D6" s="85" t="inlineStr">
        <is>
          <t>Yes</t>
        </is>
      </c>
      <c r="E6" s="84" t="inlineStr">
        <is>
          <t>Only a resident Individual or HUF gets the 20%-with-indexation option on property bought before 23-Jul-2024.</t>
        </is>
      </c>
      <c r="H6" s="79" t="n"/>
      <c r="I6" s="79" t="n"/>
      <c r="J6" s="79" t="n"/>
      <c r="K6" s="79" t="n"/>
      <c r="L6" s="79" t="n"/>
      <c r="M6" s="79" t="n"/>
      <c r="N6" s="79" t="n"/>
      <c r="O6" s="79" t="n"/>
      <c r="P6" s="79" t="n"/>
      <c r="Q6" s="79" t="n"/>
      <c r="R6" s="79" t="n"/>
      <c r="S6" s="79" t="n"/>
      <c r="T6" s="79" t="n"/>
    </row>
    <row r="7" ht="22" customHeight="1" s="37">
      <c r="A7" s="79" t="n"/>
      <c r="B7" s="82" t="inlineStr">
        <is>
          <t>Surcharge rate on capital gains</t>
        </is>
      </c>
      <c r="D7" s="83" t="n">
        <v>0</v>
      </c>
      <c r="E7" s="84" t="inlineStr">
        <is>
          <t>Leave at 0% unless your total income crosses the surcharge thresholds. Surcharge on capital gains is capped at 15%.</t>
        </is>
      </c>
      <c r="H7" s="79" t="n"/>
      <c r="I7" s="79" t="n"/>
      <c r="J7" s="79" t="n"/>
      <c r="K7" s="79" t="n"/>
      <c r="L7" s="79" t="n"/>
      <c r="M7" s="79" t="n"/>
      <c r="N7" s="79" t="n"/>
      <c r="O7" s="79" t="n"/>
      <c r="P7" s="79" t="n"/>
      <c r="Q7" s="79" t="n"/>
      <c r="R7" s="79" t="n"/>
      <c r="S7" s="79" t="n"/>
      <c r="T7" s="79" t="n"/>
    </row>
    <row r="8" ht="15" customHeight="1" s="37">
      <c r="A8" s="79" t="n"/>
      <c r="B8" s="86">
        <f>IF(AND(FY_Sel="FY 2026-27",COUNTIF('CG Register'!$P$9:$P$208,"PROP-LT")&gt;0),"!!  CII for FY 2026-27 is not yet notified by CBDT - the indexed figures below use a placeholder. Update it on the CII &amp; Rules sheet before you rely on the 20% option.","")</f>
        <v/>
      </c>
      <c r="H8" s="79" t="n"/>
      <c r="I8" s="79" t="n"/>
      <c r="J8" s="79" t="n"/>
      <c r="K8" s="79" t="n"/>
      <c r="L8" s="79" t="n"/>
      <c r="M8" s="79" t="n"/>
      <c r="N8" s="79" t="n"/>
      <c r="O8" s="79" t="n"/>
      <c r="P8" s="79" t="n"/>
      <c r="Q8" s="79" t="n"/>
      <c r="R8" s="79" t="n"/>
      <c r="S8" s="79" t="n"/>
      <c r="T8" s="79" t="n"/>
    </row>
    <row r="9" ht="15" customHeight="1" s="37">
      <c r="A9" s="79" t="n"/>
      <c r="B9" s="79" t="n"/>
      <c r="C9" s="87" t="n"/>
      <c r="D9" s="79" t="n"/>
      <c r="E9" s="79" t="n"/>
      <c r="F9" s="79" t="n"/>
      <c r="G9" s="79" t="n"/>
      <c r="H9" s="79" t="n"/>
      <c r="I9" s="79" t="n"/>
      <c r="J9" s="79" t="n"/>
      <c r="K9" s="79" t="n"/>
      <c r="L9" s="79" t="n"/>
      <c r="M9" s="79" t="n"/>
      <c r="N9" s="79" t="n"/>
      <c r="O9" s="79" t="n"/>
      <c r="P9" s="79" t="n"/>
      <c r="Q9" s="79" t="n"/>
      <c r="R9" s="79" t="n"/>
      <c r="S9" s="79" t="n"/>
      <c r="T9" s="79" t="n"/>
    </row>
    <row r="10" ht="15" customHeight="1" s="37">
      <c r="A10" s="79" t="n"/>
      <c r="B10" s="88" t="inlineStr">
        <is>
          <t>A.   Computation of tax on capital gains</t>
        </is>
      </c>
      <c r="H10" s="79" t="n"/>
      <c r="I10" s="79" t="n"/>
      <c r="J10" s="79" t="n"/>
      <c r="K10" s="79" t="n"/>
      <c r="L10" s="79" t="n"/>
      <c r="M10" s="79" t="n"/>
      <c r="N10" s="79" t="n"/>
      <c r="O10" s="79" t="n"/>
      <c r="P10" s="79" t="n"/>
      <c r="Q10" s="79" t="n"/>
      <c r="R10" s="79" t="n"/>
      <c r="S10" s="79" t="n"/>
      <c r="T10" s="79" t="n"/>
    </row>
    <row r="11" ht="26" customHeight="1" s="37">
      <c r="A11" s="79" t="n"/>
      <c r="B11" s="89" t="inlineStr">
        <is>
          <t>Head of capital gain</t>
        </is>
      </c>
      <c r="C11" s="90" t="inlineStr">
        <is>
          <t>Net gain / (loss)</t>
        </is>
      </c>
      <c r="D11" s="90" t="inlineStr">
        <is>
          <t>Loss set off</t>
        </is>
      </c>
      <c r="E11" s="90" t="inlineStr">
        <is>
          <t>Taxable</t>
        </is>
      </c>
      <c r="F11" s="90" t="inlineStr">
        <is>
          <t>Rate</t>
        </is>
      </c>
      <c r="G11" s="90" t="inlineStr">
        <is>
          <t>Tax (Rs)</t>
        </is>
      </c>
      <c r="H11" s="79" t="n"/>
      <c r="I11" s="79" t="n"/>
      <c r="J11" s="79" t="n"/>
      <c r="K11" s="79" t="n"/>
      <c r="L11" s="79" t="n"/>
      <c r="M11" s="79" t="n"/>
      <c r="N11" s="79" t="n"/>
      <c r="O11" s="79" t="n"/>
      <c r="P11" s="79" t="n"/>
      <c r="Q11" s="79" t="n"/>
      <c r="R11" s="79" t="n"/>
      <c r="S11" s="79" t="n"/>
      <c r="T11" s="79" t="n"/>
    </row>
    <row r="12" ht="16" customHeight="1" s="37">
      <c r="A12" s="79" t="n"/>
      <c r="B12" s="91" t="inlineStr">
        <is>
          <t>Equity STCG  (s.111A / s.196)</t>
        </is>
      </c>
      <c r="C12" s="92">
        <f>Engine!$B$2</f>
        <v/>
      </c>
      <c r="D12" s="92">
        <f>-Engine!$B$54</f>
        <v/>
      </c>
      <c r="E12" s="92">
        <f>Engine!$B$48</f>
        <v/>
      </c>
      <c r="F12" s="93" t="n">
        <v>0.2</v>
      </c>
      <c r="G12" s="92">
        <f>0.2*Engine!$B$48</f>
        <v/>
      </c>
      <c r="H12" s="79" t="n"/>
      <c r="I12" s="79" t="n"/>
      <c r="J12" s="79" t="n"/>
      <c r="K12" s="79" t="n"/>
      <c r="L12" s="79" t="n"/>
      <c r="M12" s="79" t="n"/>
      <c r="N12" s="79" t="n"/>
      <c r="O12" s="79" t="n"/>
      <c r="P12" s="79" t="n"/>
      <c r="Q12" s="79" t="n"/>
      <c r="R12" s="79" t="n"/>
      <c r="S12" s="79" t="n"/>
      <c r="T12" s="79" t="n"/>
    </row>
    <row r="13" ht="16" customHeight="1" s="37">
      <c r="A13" s="79" t="n"/>
      <c r="B13" s="91" t="inlineStr">
        <is>
          <t>Equity LTCG  (s.112A / s.198)</t>
        </is>
      </c>
      <c r="C13" s="92">
        <f>Engine!$B$3</f>
        <v/>
      </c>
      <c r="D13" s="92">
        <f>-Engine!$B$57</f>
        <v/>
      </c>
      <c r="E13" s="92">
        <f>Engine!$B$51</f>
        <v/>
      </c>
      <c r="F13" s="94" t="inlineStr"/>
      <c r="G13" s="92" t="inlineStr"/>
      <c r="H13" s="79" t="n"/>
      <c r="I13" s="79" t="n"/>
      <c r="J13" s="79" t="n"/>
      <c r="K13" s="79" t="n"/>
      <c r="L13" s="79" t="n"/>
      <c r="M13" s="79" t="n"/>
      <c r="N13" s="79" t="n"/>
      <c r="O13" s="79" t="n"/>
      <c r="P13" s="79" t="n"/>
      <c r="Q13" s="79" t="n"/>
      <c r="R13" s="79" t="n"/>
      <c r="S13" s="79" t="n"/>
      <c r="T13" s="79" t="n"/>
    </row>
    <row r="14" ht="16" customHeight="1" s="37">
      <c r="A14" s="79" t="n"/>
      <c r="B14" s="49" t="inlineStr">
        <is>
          <t xml:space="preserve">       less: annual exemption u/s 112A / 198  (Rs 1,25,000)</t>
        </is>
      </c>
      <c r="C14" s="95" t="inlineStr"/>
      <c r="D14" s="95" t="inlineStr"/>
      <c r="E14" s="95">
        <f>-MIN(Engine!$B$51,125000)</f>
        <v/>
      </c>
      <c r="F14" s="96" t="inlineStr"/>
      <c r="G14" s="95" t="inlineStr"/>
      <c r="H14" s="79" t="n"/>
      <c r="I14" s="79" t="n"/>
      <c r="J14" s="79" t="n"/>
      <c r="K14" s="79" t="n"/>
      <c r="L14" s="79" t="n"/>
      <c r="M14" s="79" t="n"/>
      <c r="N14" s="79" t="n"/>
      <c r="O14" s="79" t="n"/>
      <c r="P14" s="79" t="n"/>
      <c r="Q14" s="79" t="n"/>
      <c r="R14" s="79" t="n"/>
      <c r="S14" s="79" t="n"/>
      <c r="T14" s="79" t="n"/>
    </row>
    <row r="15" ht="16" customHeight="1" s="37">
      <c r="A15" s="79" t="n"/>
      <c r="B15" s="97" t="inlineStr">
        <is>
          <t xml:space="preserve">       Equity LTCG chargeable to tax</t>
        </is>
      </c>
      <c r="C15" s="98" t="inlineStr"/>
      <c r="D15" s="98" t="inlineStr"/>
      <c r="E15" s="98">
        <f>MAX(0,Engine!$B$51-125000)</f>
        <v/>
      </c>
      <c r="F15" s="99" t="n">
        <v>0.125</v>
      </c>
      <c r="G15" s="98">
        <f>0.125*MAX(0,Engine!$B$51-125000)</f>
        <v/>
      </c>
      <c r="H15" s="79" t="n"/>
      <c r="I15" s="79" t="n"/>
      <c r="J15" s="79" t="n"/>
      <c r="K15" s="79" t="n"/>
      <c r="L15" s="79" t="n"/>
      <c r="M15" s="79" t="n"/>
      <c r="N15" s="79" t="n"/>
      <c r="O15" s="79" t="n"/>
      <c r="P15" s="79" t="n"/>
      <c r="Q15" s="79" t="n"/>
      <c r="R15" s="79" t="n"/>
      <c r="S15" s="79" t="n"/>
      <c r="T15" s="79" t="n"/>
    </row>
    <row r="16" ht="16" customHeight="1" s="37">
      <c r="A16" s="79" t="n"/>
      <c r="B16" s="91" t="inlineStr">
        <is>
          <t>Property LTCG  (s.112 / s.197)  - lower of the two computations</t>
        </is>
      </c>
      <c r="C16" s="92">
        <f>Engine!$B$4</f>
        <v/>
      </c>
      <c r="D16" s="92">
        <f>-Engine!$B$56</f>
        <v/>
      </c>
      <c r="E16" s="92">
        <f>Engine!$B$50</f>
        <v/>
      </c>
      <c r="F16" s="93">
        <f>IF(Engine!$B$50&gt;0,Engine!$B$19,"-")</f>
        <v/>
      </c>
      <c r="G16" s="92">
        <f>Engine!$B$19*Engine!$B$50</f>
        <v/>
      </c>
      <c r="H16" s="79" t="n"/>
      <c r="I16" s="79" t="n"/>
      <c r="J16" s="79" t="n"/>
      <c r="K16" s="79" t="n"/>
      <c r="L16" s="79" t="n"/>
      <c r="M16" s="79" t="n"/>
      <c r="N16" s="79" t="n"/>
      <c r="O16" s="79" t="n"/>
      <c r="P16" s="79" t="n"/>
      <c r="Q16" s="79" t="n"/>
      <c r="R16" s="79" t="n"/>
      <c r="S16" s="79" t="n"/>
      <c r="T16" s="79" t="n"/>
    </row>
    <row r="17" ht="16" customHeight="1" s="37">
      <c r="A17" s="79" t="n"/>
      <c r="B17" s="91" t="inlineStr">
        <is>
          <t>Other LTCG @ 12.5%  (unlisted shares, gold, other listed securities)</t>
        </is>
      </c>
      <c r="C17" s="92">
        <f>Engine!$B$5</f>
        <v/>
      </c>
      <c r="D17" s="92">
        <f>-Engine!$B$55</f>
        <v/>
      </c>
      <c r="E17" s="92">
        <f>Engine!$B$49</f>
        <v/>
      </c>
      <c r="F17" s="93" t="n">
        <v>0.125</v>
      </c>
      <c r="G17" s="92">
        <f>0.125*Engine!$B$49</f>
        <v/>
      </c>
      <c r="H17" s="79" t="n"/>
      <c r="I17" s="79" t="n"/>
      <c r="J17" s="79" t="n"/>
      <c r="K17" s="79" t="n"/>
      <c r="L17" s="79" t="n"/>
      <c r="M17" s="79" t="n"/>
      <c r="N17" s="79" t="n"/>
      <c r="O17" s="79" t="n"/>
      <c r="P17" s="79" t="n"/>
      <c r="Q17" s="79" t="n"/>
      <c r="R17" s="79" t="n"/>
      <c r="S17" s="79" t="n"/>
      <c r="T17" s="79" t="n"/>
    </row>
    <row r="18" ht="16" customHeight="1" s="37">
      <c r="A18" s="79" t="n"/>
      <c r="B18" s="91" t="inlineStr">
        <is>
          <t>Slab-taxed gains  (STCG on property/gold/other; debt MF u/s 50AA)</t>
        </is>
      </c>
      <c r="C18" s="92">
        <f>Engine!$B$6</f>
        <v/>
      </c>
      <c r="D18" s="92">
        <f>-Engine!$B$53</f>
        <v/>
      </c>
      <c r="E18" s="92">
        <f>Engine!$B$47</f>
        <v/>
      </c>
      <c r="F18" s="100">
        <f>Slab_Rate</f>
        <v/>
      </c>
      <c r="G18" s="92">
        <f>Slab_Rate*Engine!$B$47</f>
        <v/>
      </c>
      <c r="H18" s="79" t="n"/>
      <c r="I18" s="79" t="n"/>
      <c r="J18" s="79" t="n"/>
      <c r="K18" s="79" t="n"/>
      <c r="L18" s="79" t="n"/>
      <c r="M18" s="79" t="n"/>
      <c r="N18" s="79" t="n"/>
      <c r="O18" s="79" t="n"/>
      <c r="P18" s="79" t="n"/>
      <c r="Q18" s="79" t="n"/>
      <c r="R18" s="79" t="n"/>
      <c r="S18" s="79" t="n"/>
      <c r="T18" s="79" t="n"/>
    </row>
    <row r="19" ht="16" customHeight="1" s="37">
      <c r="A19" s="79" t="n"/>
      <c r="B19" s="101" t="inlineStr">
        <is>
          <t>Tax on capital gains before surcharge and cess</t>
        </is>
      </c>
      <c r="C19" s="102" t="inlineStr"/>
      <c r="D19" s="102" t="inlineStr"/>
      <c r="E19" s="102" t="inlineStr"/>
      <c r="F19" s="102" t="inlineStr"/>
      <c r="G19" s="103">
        <f>G12+G15+G16+G17+G18</f>
        <v/>
      </c>
      <c r="H19" s="79" t="n"/>
      <c r="I19" s="79" t="n"/>
      <c r="J19" s="79" t="n"/>
      <c r="K19" s="79" t="n"/>
      <c r="L19" s="79" t="n"/>
      <c r="M19" s="79" t="n"/>
      <c r="N19" s="79" t="n"/>
      <c r="O19" s="79" t="n"/>
      <c r="P19" s="79" t="n"/>
      <c r="Q19" s="79" t="n"/>
      <c r="R19" s="79" t="n"/>
      <c r="S19" s="79" t="n"/>
      <c r="T19" s="79" t="n"/>
    </row>
    <row r="20" ht="16" customHeight="1" s="37">
      <c r="A20" s="79" t="n"/>
      <c r="B20" s="91" t="inlineStr">
        <is>
          <t>Add: Surcharge</t>
        </is>
      </c>
      <c r="C20" s="49" t="inlineStr"/>
      <c r="D20" s="49" t="inlineStr"/>
      <c r="E20" s="49" t="inlineStr"/>
      <c r="F20" s="100">
        <f>Surch_Rate</f>
        <v/>
      </c>
      <c r="G20" s="92">
        <f>Surch_Rate*G19</f>
        <v/>
      </c>
      <c r="H20" s="79" t="n"/>
      <c r="I20" s="79" t="n"/>
      <c r="J20" s="79" t="n"/>
      <c r="K20" s="79" t="n"/>
      <c r="L20" s="79" t="n"/>
      <c r="M20" s="79" t="n"/>
      <c r="N20" s="79" t="n"/>
      <c r="O20" s="79" t="n"/>
      <c r="P20" s="79" t="n"/>
      <c r="Q20" s="79" t="n"/>
      <c r="R20" s="79" t="n"/>
      <c r="S20" s="79" t="n"/>
      <c r="T20" s="79" t="n"/>
    </row>
    <row r="21" ht="16" customHeight="1" s="37">
      <c r="A21" s="79" t="n"/>
      <c r="B21" s="91" t="inlineStr">
        <is>
          <t>Add: Health &amp; Education Cess @ 4%</t>
        </is>
      </c>
      <c r="C21" s="49" t="inlineStr"/>
      <c r="D21" s="49" t="inlineStr"/>
      <c r="E21" s="49" t="inlineStr"/>
      <c r="F21" s="104" t="n">
        <v>0.04</v>
      </c>
      <c r="G21" s="92">
        <f>0.04*(G19+G20)</f>
        <v/>
      </c>
      <c r="H21" s="79" t="n"/>
      <c r="I21" s="79" t="n"/>
      <c r="J21" s="79" t="n"/>
      <c r="K21" s="79" t="n"/>
      <c r="L21" s="79" t="n"/>
      <c r="M21" s="79" t="n"/>
      <c r="N21" s="79" t="n"/>
      <c r="O21" s="79" t="n"/>
      <c r="P21" s="79" t="n"/>
      <c r="Q21" s="79" t="n"/>
      <c r="R21" s="79" t="n"/>
      <c r="S21" s="79" t="n"/>
      <c r="T21" s="79" t="n"/>
    </row>
    <row r="22" ht="22" customHeight="1" s="37">
      <c r="A22" s="79" t="n"/>
      <c r="B22" s="105" t="inlineStr">
        <is>
          <t>TOTAL TAX PAYABLE ON CAPITAL GAINS</t>
        </is>
      </c>
      <c r="C22" s="106" t="inlineStr"/>
      <c r="D22" s="106" t="inlineStr"/>
      <c r="E22" s="106" t="inlineStr"/>
      <c r="F22" s="106" t="inlineStr"/>
      <c r="G22" s="107">
        <f>G19+G20+G21</f>
        <v/>
      </c>
      <c r="H22" s="79" t="n"/>
      <c r="I22" s="79" t="n"/>
      <c r="J22" s="79" t="n"/>
      <c r="K22" s="79" t="n"/>
      <c r="L22" s="79" t="n"/>
      <c r="M22" s="79" t="n"/>
      <c r="N22" s="79" t="n"/>
      <c r="O22" s="79" t="n"/>
      <c r="P22" s="79" t="n"/>
      <c r="Q22" s="79" t="n"/>
      <c r="R22" s="79" t="n"/>
      <c r="S22" s="79" t="n"/>
      <c r="T22" s="79" t="n"/>
    </row>
    <row r="23" ht="15" customHeight="1" s="37">
      <c r="A23" s="79" t="n"/>
      <c r="B23" s="79" t="n"/>
      <c r="C23" s="79" t="n"/>
      <c r="D23" s="79" t="n"/>
      <c r="E23" s="79" t="n"/>
      <c r="F23" s="79" t="n"/>
      <c r="G23" s="79" t="n"/>
      <c r="H23" s="79" t="n"/>
      <c r="I23" s="79" t="n"/>
      <c r="J23" s="79" t="n"/>
      <c r="K23" s="79" t="n"/>
      <c r="L23" s="79" t="n"/>
      <c r="M23" s="79" t="n"/>
      <c r="N23" s="79" t="n"/>
      <c r="O23" s="79" t="n"/>
      <c r="P23" s="79" t="n"/>
      <c r="Q23" s="79" t="n"/>
      <c r="R23" s="79" t="n"/>
      <c r="S23" s="79" t="n"/>
      <c r="T23" s="79" t="n"/>
    </row>
    <row r="24">
      <c r="A24" s="79" t="n"/>
      <c r="B24" s="88" t="inlineStr">
        <is>
          <t>B.   Losses carried forward  (s.74 - 8 assessment years; file the return by the due date or you lose them)</t>
        </is>
      </c>
      <c r="H24" s="79" t="n"/>
      <c r="I24" s="79" t="n"/>
      <c r="J24" s="79" t="n"/>
      <c r="K24" s="79" t="n"/>
      <c r="L24" s="79" t="n"/>
      <c r="M24" s="79" t="n"/>
      <c r="N24" s="79" t="n"/>
      <c r="O24" s="79" t="n"/>
      <c r="P24" s="79" t="n"/>
      <c r="Q24" s="79" t="n"/>
      <c r="R24" s="79" t="n"/>
      <c r="S24" s="79" t="n"/>
      <c r="T24" s="79" t="n"/>
    </row>
    <row r="25" ht="15" customHeight="1" s="37">
      <c r="A25" s="79" t="n"/>
      <c r="B25" s="91" t="inlineStr">
        <is>
          <t>Short-term capital loss carried forward</t>
        </is>
      </c>
      <c r="C25" s="98">
        <f>Engine!$B$45</f>
        <v/>
      </c>
      <c r="D25" s="108" t="inlineStr">
        <is>
          <t xml:space="preserve">   Can be set off in future years against BOTH short-term and long-term capital gains.</t>
        </is>
      </c>
      <c r="H25" s="79" t="n"/>
      <c r="I25" s="79" t="n"/>
      <c r="J25" s="79" t="n"/>
      <c r="K25" s="79" t="n"/>
      <c r="L25" s="79" t="n"/>
      <c r="M25" s="79" t="n"/>
      <c r="N25" s="79" t="n"/>
      <c r="O25" s="79" t="n"/>
      <c r="P25" s="79" t="n"/>
      <c r="Q25" s="79" t="n"/>
      <c r="R25" s="79" t="n"/>
      <c r="S25" s="79" t="n"/>
      <c r="T25" s="79" t="n"/>
    </row>
    <row r="26">
      <c r="A26" s="79" t="n"/>
      <c r="B26" s="91" t="inlineStr">
        <is>
          <t>Long-term capital loss carried forward</t>
        </is>
      </c>
      <c r="C26" s="98">
        <f>Engine!$B$27</f>
        <v/>
      </c>
      <c r="D26" s="108" t="inlineStr">
        <is>
          <t xml:space="preserve">   Can be set off in future years ONLY against long-term capital gains.</t>
        </is>
      </c>
      <c r="H26" s="79" t="n"/>
      <c r="I26" s="79" t="n"/>
      <c r="J26" s="79" t="n"/>
      <c r="K26" s="79" t="n"/>
      <c r="L26" s="79" t="n"/>
      <c r="M26" s="79" t="n"/>
      <c r="N26" s="79" t="n"/>
      <c r="O26" s="79" t="n"/>
      <c r="P26" s="79" t="n"/>
      <c r="Q26" s="79" t="n"/>
      <c r="R26" s="79" t="n"/>
      <c r="S26" s="79" t="n"/>
      <c r="T26" s="79" t="n"/>
    </row>
    <row r="27">
      <c r="A27" s="79" t="n"/>
      <c r="B27" s="79" t="n"/>
      <c r="C27" s="79" t="n"/>
      <c r="D27" s="79" t="n"/>
      <c r="E27" s="79" t="n"/>
      <c r="F27" s="79" t="n"/>
      <c r="G27" s="79" t="n"/>
      <c r="H27" s="79" t="n"/>
      <c r="I27" s="79" t="n"/>
      <c r="J27" s="79" t="n"/>
      <c r="K27" s="79" t="n"/>
      <c r="L27" s="79" t="n"/>
      <c r="M27" s="79" t="n"/>
      <c r="N27" s="79" t="n"/>
      <c r="O27" s="79" t="n"/>
      <c r="P27" s="79" t="n"/>
      <c r="Q27" s="79" t="n"/>
      <c r="R27" s="79" t="n"/>
      <c r="S27" s="79" t="n"/>
      <c r="T27" s="79" t="n"/>
    </row>
    <row r="28">
      <c r="A28" s="79" t="n"/>
      <c r="B28" s="109" t="inlineStr">
        <is>
          <t>Notes</t>
        </is>
      </c>
      <c r="C28" s="79" t="n"/>
      <c r="D28" s="79" t="n"/>
      <c r="E28" s="79" t="n"/>
      <c r="F28" s="79" t="n"/>
      <c r="G28" s="79" t="n"/>
      <c r="H28" s="79" t="n"/>
      <c r="I28" s="79" t="n"/>
      <c r="J28" s="79" t="n"/>
      <c r="K28" s="79" t="n"/>
      <c r="L28" s="79" t="n"/>
      <c r="M28" s="79" t="n"/>
      <c r="N28" s="79" t="n"/>
      <c r="O28" s="79" t="n"/>
      <c r="P28" s="79" t="n"/>
      <c r="Q28" s="79" t="n"/>
      <c r="R28" s="79" t="n"/>
      <c r="S28" s="79" t="n"/>
      <c r="T28" s="79" t="n"/>
    </row>
    <row r="29" ht="12" customHeight="1" s="37">
      <c r="A29" s="79" t="n"/>
      <c r="B29" s="110" t="inlineStr">
        <is>
          <t>How the set-off above is done, and why:</t>
        </is>
      </c>
      <c r="H29" s="79" t="n"/>
      <c r="I29" s="79" t="n"/>
      <c r="J29" s="79" t="n"/>
      <c r="K29" s="79" t="n"/>
      <c r="L29" s="79" t="n"/>
      <c r="M29" s="79" t="n"/>
      <c r="N29" s="79" t="n"/>
      <c r="O29" s="79" t="n"/>
      <c r="P29" s="79" t="n"/>
      <c r="Q29" s="79" t="n"/>
      <c r="R29" s="79" t="n"/>
      <c r="S29" s="79" t="n"/>
      <c r="T29" s="79" t="n"/>
    </row>
    <row r="30" ht="24" customHeight="1" s="37">
      <c r="A30" s="79" t="n"/>
      <c r="B30" s="111" t="inlineStr">
        <is>
          <t>1.  Losses are first netted within each head. A short-term capital loss can then be set off against ANY capital gain (short or long); a long-term capital loss can be set off ONLY against long-term capital gains (s.70/71).</t>
        </is>
      </c>
      <c r="H30" s="79" t="n"/>
      <c r="I30" s="79" t="n"/>
      <c r="J30" s="79" t="n"/>
      <c r="K30" s="79" t="n"/>
      <c r="L30" s="79" t="n"/>
      <c r="M30" s="79" t="n"/>
      <c r="N30" s="79" t="n"/>
      <c r="O30" s="79" t="n"/>
      <c r="P30" s="79" t="n"/>
      <c r="Q30" s="79" t="n"/>
      <c r="R30" s="79" t="n"/>
      <c r="S30" s="79" t="n"/>
      <c r="T30" s="79" t="n"/>
    </row>
    <row r="31" ht="24" customHeight="1" s="37">
      <c r="A31" s="79" t="n"/>
      <c r="B31" s="111" t="inlineStr">
        <is>
          <t>2.  Where there is a choice, the loss is applied to the HIGHEST-taxed gain first, because that is what a taxpayer would actually elect. Equity LTCG is taken LAST, and only the slice above Rs 1,25,000 - setting a loss against the exempt slice would waste it, since that slice bears no tax anyway.</t>
        </is>
      </c>
      <c r="H31" s="79" t="n"/>
      <c r="I31" s="79" t="n"/>
      <c r="J31" s="79" t="n"/>
      <c r="K31" s="79" t="n"/>
      <c r="L31" s="79" t="n"/>
      <c r="M31" s="79" t="n"/>
      <c r="N31" s="79" t="n"/>
      <c r="O31" s="79" t="n"/>
      <c r="P31" s="79" t="n"/>
      <c r="Q31" s="79" t="n"/>
      <c r="R31" s="79" t="n"/>
      <c r="S31" s="79" t="n"/>
      <c r="T31" s="79" t="n"/>
    </row>
    <row r="32" ht="24" customHeight="1" s="37">
      <c r="A32" s="79" t="n"/>
      <c r="B32" s="111" t="inlineStr">
        <is>
          <t>3.  Property LTCG is computed transaction-by-transaction in the Register as the LOWER of (12.5% without indexation) and (20% with indexation), which is the second proviso to s.112(1). The relief can take the tax down to nil but it cannot create a refund or a carried-forward loss - so the effective rate shown above is never negative.</t>
        </is>
      </c>
      <c r="H32" s="79" t="n"/>
      <c r="I32" s="79" t="n"/>
      <c r="J32" s="79" t="n"/>
      <c r="K32" s="79" t="n"/>
      <c r="L32" s="79" t="n"/>
      <c r="M32" s="79" t="n"/>
      <c r="N32" s="79" t="n"/>
      <c r="O32" s="79" t="n"/>
      <c r="P32" s="79" t="n"/>
      <c r="Q32" s="79" t="n"/>
      <c r="R32" s="79" t="n"/>
      <c r="S32" s="79" t="n"/>
      <c r="T32" s="79" t="n"/>
    </row>
    <row r="33" ht="24" customHeight="1" s="37">
      <c r="A33" s="79" t="n"/>
      <c r="B33" s="111" t="inlineStr">
        <is>
          <t>4.  Indexation is available ONLY on land/building acquired before 23-Jul-2024, and ONLY to a resident Individual or HUF. Set cell D6 to "No" and the option is correctly withdrawn.</t>
        </is>
      </c>
      <c r="H33" s="79" t="n"/>
      <c r="I33" s="79" t="n"/>
      <c r="J33" s="79" t="n"/>
      <c r="K33" s="79" t="n"/>
      <c r="L33" s="79" t="n"/>
      <c r="M33" s="79" t="n"/>
      <c r="N33" s="79" t="n"/>
      <c r="O33" s="79" t="n"/>
      <c r="P33" s="79" t="n"/>
      <c r="Q33" s="79" t="n"/>
      <c r="R33" s="79" t="n"/>
      <c r="S33" s="79" t="n"/>
      <c r="T33" s="79" t="n"/>
    </row>
    <row r="34" ht="24" customHeight="1" s="37">
      <c r="A34" s="79" t="n"/>
      <c r="B34" s="111" t="inlineStr">
        <is>
          <t>5.  The rates are the SAME for FY 2025-26 and FY 2026-27. Finance (No.2) Act, 2024 set them; the Income-tax Act, 2025 (in force from 1 Apr 2026) only renumbers the sections. The FY selector on the Register drives the section labels, the sale-date validation and the CII used for indexation.</t>
        </is>
      </c>
      <c r="H34" s="79" t="n"/>
      <c r="I34" s="79" t="n"/>
      <c r="J34" s="79" t="n"/>
      <c r="K34" s="79" t="n"/>
      <c r="L34" s="79" t="n"/>
      <c r="M34" s="79" t="n"/>
      <c r="N34" s="79" t="n"/>
      <c r="O34" s="79" t="n"/>
      <c r="P34" s="79" t="n"/>
      <c r="Q34" s="79" t="n"/>
      <c r="R34" s="79" t="n"/>
      <c r="S34" s="79" t="n"/>
      <c r="T34" s="79" t="n"/>
    </row>
    <row r="35" ht="12" customHeight="1" s="37">
      <c r="A35" s="79" t="n"/>
      <c r="B35" s="110" t="inlineStr">
        <is>
          <t>What this file deliberately does NOT do:</t>
        </is>
      </c>
      <c r="H35" s="79" t="n"/>
      <c r="I35" s="79" t="n"/>
      <c r="J35" s="79" t="n"/>
      <c r="K35" s="79" t="n"/>
      <c r="L35" s="79" t="n"/>
      <c r="M35" s="79" t="n"/>
      <c r="N35" s="79" t="n"/>
      <c r="O35" s="79" t="n"/>
      <c r="P35" s="79" t="n"/>
      <c r="Q35" s="79" t="n"/>
      <c r="R35" s="79" t="n"/>
      <c r="S35" s="79" t="n"/>
      <c r="T35" s="79" t="n"/>
    </row>
    <row r="36" ht="24" customHeight="1" s="37">
      <c r="A36" s="79" t="n"/>
      <c r="B36" s="111" t="inlineStr">
        <is>
          <t>6.  It does not apply the basic-exemption-limit adjustment (a resident whose other income falls short of the basic exemption can absorb that shortfall against capital gains). It does not compute exemptions u/s 54 / 54F / 54EC, and it does not compute your total return. Use the CalcGuru Income Tax Calculator and the 54/54F/54EC planner for those.</t>
        </is>
      </c>
      <c r="H36" s="79" t="n"/>
      <c r="I36" s="79" t="n"/>
      <c r="J36" s="79" t="n"/>
      <c r="K36" s="79" t="n"/>
      <c r="L36" s="79" t="n"/>
      <c r="M36" s="79" t="n"/>
      <c r="N36" s="79" t="n"/>
      <c r="O36" s="79" t="n"/>
      <c r="P36" s="79" t="n"/>
      <c r="Q36" s="79" t="n"/>
      <c r="R36" s="79" t="n"/>
      <c r="S36" s="79" t="n"/>
      <c r="T36" s="79" t="n"/>
    </row>
    <row r="37" ht="24" customHeight="1" s="37">
      <c r="A37" s="79" t="n"/>
      <c r="B37" s="111" t="inlineStr">
        <is>
          <t>7.  Surcharge is whatever you enter in D7. It is capped at 15% on capital gains - the file does not police that for you.</t>
        </is>
      </c>
      <c r="H37" s="79" t="n"/>
      <c r="I37" s="79" t="n"/>
      <c r="J37" s="79" t="n"/>
      <c r="K37" s="79" t="n"/>
      <c r="L37" s="79" t="n"/>
      <c r="M37" s="79" t="n"/>
      <c r="N37" s="79" t="n"/>
      <c r="O37" s="79" t="n"/>
      <c r="P37" s="79" t="n"/>
      <c r="Q37" s="79" t="n"/>
      <c r="R37" s="79" t="n"/>
      <c r="S37" s="79" t="n"/>
      <c r="T37" s="79" t="n"/>
    </row>
    <row r="38">
      <c r="A38" s="79" t="n"/>
      <c r="B38" s="79" t="n"/>
      <c r="C38" s="79" t="n"/>
      <c r="D38" s="79" t="n"/>
      <c r="E38" s="79" t="n"/>
      <c r="F38" s="79" t="n"/>
      <c r="G38" s="79" t="n"/>
      <c r="H38" s="79" t="n"/>
      <c r="I38" s="79" t="n"/>
      <c r="J38" s="79" t="n"/>
      <c r="K38" s="79" t="n"/>
      <c r="L38" s="79" t="n"/>
      <c r="M38" s="79" t="n"/>
      <c r="N38" s="79" t="n"/>
      <c r="O38" s="79" t="n"/>
      <c r="P38" s="79" t="n"/>
      <c r="Q38" s="79" t="n"/>
      <c r="R38" s="79" t="n"/>
      <c r="S38" s="79" t="n"/>
      <c r="T38" s="79" t="n"/>
    </row>
    <row r="39">
      <c r="A39" s="112" t="inlineStr">
        <is>
          <t>Prepared by CA Tirumalesh Malla  |  calcguru.in  |  Free CA working files &amp; calculators</t>
        </is>
      </c>
      <c r="H39" s="79" t="n"/>
      <c r="I39" s="79" t="n"/>
      <c r="J39" s="79" t="n"/>
      <c r="K39" s="79" t="n"/>
      <c r="L39" s="79" t="n"/>
      <c r="M39" s="79" t="n"/>
      <c r="N39" s="79" t="n"/>
      <c r="O39" s="79" t="n"/>
      <c r="P39" s="79" t="n"/>
      <c r="Q39" s="79" t="n"/>
      <c r="R39" s="79" t="n"/>
      <c r="S39" s="79" t="n"/>
      <c r="T39" s="79" t="n"/>
    </row>
    <row r="40">
      <c r="A40" s="79" t="n"/>
      <c r="B40" s="79" t="n"/>
      <c r="C40" s="79" t="n"/>
      <c r="D40" s="79" t="n"/>
      <c r="E40" s="79" t="n"/>
      <c r="F40" s="79" t="n"/>
      <c r="G40" s="79" t="n"/>
      <c r="H40" s="79" t="n"/>
      <c r="I40" s="79" t="n"/>
      <c r="J40" s="79" t="n"/>
      <c r="K40" s="79" t="n"/>
      <c r="L40" s="79" t="n"/>
      <c r="M40" s="79" t="n"/>
      <c r="N40" s="79" t="n"/>
      <c r="O40" s="79" t="n"/>
      <c r="P40" s="79" t="n"/>
      <c r="Q40" s="79" t="n"/>
      <c r="R40" s="79" t="n"/>
      <c r="S40" s="79" t="n"/>
      <c r="T40" s="79" t="n"/>
    </row>
    <row r="41">
      <c r="A41" s="79" t="n"/>
      <c r="B41" s="79" t="n"/>
      <c r="C41" s="79" t="n"/>
      <c r="D41" s="79" t="n"/>
      <c r="E41" s="79" t="n"/>
      <c r="F41" s="79" t="n"/>
      <c r="G41" s="79" t="n"/>
      <c r="H41" s="79" t="n"/>
      <c r="I41" s="79" t="n"/>
      <c r="J41" s="79" t="n"/>
      <c r="K41" s="79" t="n"/>
      <c r="L41" s="79" t="n"/>
      <c r="M41" s="79" t="n"/>
      <c r="N41" s="79" t="n"/>
      <c r="O41" s="79" t="n"/>
      <c r="P41" s="79" t="n"/>
      <c r="Q41" s="79" t="n"/>
      <c r="R41" s="79" t="n"/>
      <c r="S41" s="79" t="n"/>
      <c r="T41" s="79" t="n"/>
    </row>
    <row r="42">
      <c r="A42" s="79" t="n"/>
      <c r="B42" s="79" t="n"/>
      <c r="C42" s="79" t="n"/>
      <c r="D42" s="79" t="n"/>
      <c r="E42" s="79" t="n"/>
      <c r="F42" s="79" t="n"/>
      <c r="G42" s="79" t="n"/>
      <c r="H42" s="79" t="n"/>
      <c r="I42" s="79" t="n"/>
      <c r="J42" s="79" t="n"/>
      <c r="K42" s="79" t="n"/>
      <c r="L42" s="79" t="n"/>
      <c r="M42" s="79" t="n"/>
      <c r="N42" s="79" t="n"/>
      <c r="O42" s="79" t="n"/>
      <c r="P42" s="79" t="n"/>
      <c r="Q42" s="79" t="n"/>
      <c r="R42" s="79" t="n"/>
      <c r="S42" s="79" t="n"/>
      <c r="T42" s="79" t="n"/>
    </row>
    <row r="43">
      <c r="A43" s="79" t="n"/>
      <c r="B43" s="79" t="n"/>
      <c r="C43" s="79" t="n"/>
      <c r="D43" s="79" t="n"/>
      <c r="E43" s="79" t="n"/>
      <c r="F43" s="79" t="n"/>
      <c r="G43" s="79" t="n"/>
      <c r="H43" s="79" t="n"/>
      <c r="I43" s="79" t="n"/>
      <c r="J43" s="79" t="n"/>
      <c r="K43" s="79" t="n"/>
      <c r="L43" s="79" t="n"/>
      <c r="M43" s="79" t="n"/>
      <c r="N43" s="79" t="n"/>
      <c r="O43" s="79" t="n"/>
      <c r="P43" s="79" t="n"/>
      <c r="Q43" s="79" t="n"/>
      <c r="R43" s="79" t="n"/>
      <c r="S43" s="79" t="n"/>
      <c r="T43" s="79" t="n"/>
    </row>
    <row r="44">
      <c r="A44" s="79" t="n"/>
      <c r="B44" s="79" t="n"/>
      <c r="C44" s="79" t="n"/>
      <c r="D44" s="79" t="n"/>
      <c r="E44" s="79" t="n"/>
      <c r="F44" s="79" t="n"/>
      <c r="G44" s="79" t="n"/>
      <c r="H44" s="79" t="n"/>
      <c r="I44" s="79" t="n"/>
      <c r="J44" s="79" t="n"/>
      <c r="K44" s="79" t="n"/>
      <c r="L44" s="79" t="n"/>
      <c r="M44" s="79" t="n"/>
      <c r="N44" s="79" t="n"/>
      <c r="O44" s="79" t="n"/>
      <c r="P44" s="79" t="n"/>
      <c r="Q44" s="79" t="n"/>
      <c r="R44" s="79" t="n"/>
      <c r="S44" s="79" t="n"/>
      <c r="T44" s="79" t="n"/>
    </row>
    <row r="45">
      <c r="A45" s="79" t="n"/>
      <c r="B45" s="79" t="n"/>
      <c r="C45" s="79" t="n"/>
      <c r="D45" s="79" t="n"/>
      <c r="E45" s="79" t="n"/>
      <c r="F45" s="79" t="n"/>
      <c r="G45" s="79" t="n"/>
      <c r="H45" s="79" t="n"/>
      <c r="I45" s="79" t="n"/>
      <c r="J45" s="79" t="n"/>
      <c r="K45" s="79" t="n"/>
      <c r="L45" s="79" t="n"/>
      <c r="M45" s="79" t="n"/>
      <c r="N45" s="79" t="n"/>
      <c r="O45" s="79" t="n"/>
      <c r="P45" s="79" t="n"/>
      <c r="Q45" s="79" t="n"/>
      <c r="R45" s="79" t="n"/>
      <c r="S45" s="79" t="n"/>
      <c r="T45" s="79" t="n"/>
    </row>
    <row r="46">
      <c r="A46" s="79" t="n"/>
      <c r="B46" s="79" t="n"/>
      <c r="C46" s="79" t="n"/>
      <c r="D46" s="79" t="n"/>
      <c r="E46" s="79" t="n"/>
      <c r="F46" s="79" t="n"/>
      <c r="G46" s="79" t="n"/>
      <c r="H46" s="79" t="n"/>
      <c r="I46" s="79" t="n"/>
      <c r="J46" s="79" t="n"/>
      <c r="K46" s="79" t="n"/>
      <c r="L46" s="79" t="n"/>
      <c r="M46" s="79" t="n"/>
      <c r="N46" s="79" t="n"/>
      <c r="O46" s="79" t="n"/>
      <c r="P46" s="79" t="n"/>
      <c r="Q46" s="79" t="n"/>
      <c r="R46" s="79" t="n"/>
      <c r="S46" s="79" t="n"/>
      <c r="T46" s="79" t="n"/>
    </row>
    <row r="47">
      <c r="A47" s="79" t="n"/>
      <c r="B47" s="79" t="n"/>
      <c r="C47" s="79" t="n"/>
      <c r="D47" s="79" t="n"/>
      <c r="E47" s="79" t="n"/>
      <c r="F47" s="79" t="n"/>
      <c r="G47" s="79" t="n"/>
      <c r="H47" s="79" t="n"/>
      <c r="I47" s="79" t="n"/>
      <c r="J47" s="79" t="n"/>
      <c r="K47" s="79" t="n"/>
      <c r="L47" s="79" t="n"/>
      <c r="M47" s="79" t="n"/>
      <c r="N47" s="79" t="n"/>
      <c r="O47" s="79" t="n"/>
      <c r="P47" s="79" t="n"/>
      <c r="Q47" s="79" t="n"/>
      <c r="R47" s="79" t="n"/>
      <c r="S47" s="79" t="n"/>
      <c r="T47" s="79" t="n"/>
    </row>
    <row r="48">
      <c r="A48" s="79" t="n"/>
      <c r="B48" s="79" t="n"/>
      <c r="C48" s="79" t="n"/>
      <c r="D48" s="79" t="n"/>
      <c r="E48" s="79" t="n"/>
      <c r="F48" s="79" t="n"/>
      <c r="G48" s="79" t="n"/>
      <c r="H48" s="79" t="n"/>
      <c r="I48" s="79" t="n"/>
      <c r="J48" s="79" t="n"/>
      <c r="K48" s="79" t="n"/>
      <c r="L48" s="79" t="n"/>
      <c r="M48" s="79" t="n"/>
      <c r="N48" s="79" t="n"/>
      <c r="O48" s="79" t="n"/>
      <c r="P48" s="79" t="n"/>
      <c r="Q48" s="79" t="n"/>
      <c r="R48" s="79" t="n"/>
      <c r="S48" s="79" t="n"/>
      <c r="T48" s="79" t="n"/>
    </row>
    <row r="49">
      <c r="A49" s="79" t="n"/>
      <c r="B49" s="79" t="n"/>
      <c r="C49" s="79" t="n"/>
      <c r="D49" s="79" t="n"/>
      <c r="E49" s="79" t="n"/>
      <c r="F49" s="79" t="n"/>
      <c r="G49" s="79" t="n"/>
      <c r="H49" s="79" t="n"/>
      <c r="I49" s="79" t="n"/>
      <c r="J49" s="79" t="n"/>
      <c r="K49" s="79" t="n"/>
      <c r="L49" s="79" t="n"/>
      <c r="M49" s="79" t="n"/>
      <c r="N49" s="79" t="n"/>
      <c r="O49" s="79" t="n"/>
      <c r="P49" s="79" t="n"/>
      <c r="Q49" s="79" t="n"/>
      <c r="R49" s="79" t="n"/>
      <c r="S49" s="79" t="n"/>
      <c r="T49" s="79" t="n"/>
    </row>
    <row r="50">
      <c r="A50" s="79" t="n"/>
      <c r="B50" s="79" t="n"/>
      <c r="C50" s="79" t="n"/>
      <c r="D50" s="79" t="n"/>
      <c r="E50" s="79" t="n"/>
      <c r="F50" s="79" t="n"/>
      <c r="G50" s="79" t="n"/>
      <c r="H50" s="79" t="n"/>
      <c r="I50" s="79" t="n"/>
      <c r="J50" s="79" t="n"/>
      <c r="K50" s="79" t="n"/>
      <c r="L50" s="79" t="n"/>
      <c r="M50" s="79" t="n"/>
      <c r="N50" s="79" t="n"/>
      <c r="O50" s="79" t="n"/>
      <c r="P50" s="79" t="n"/>
      <c r="Q50" s="79" t="n"/>
      <c r="R50" s="79" t="n"/>
      <c r="S50" s="79" t="n"/>
      <c r="T50" s="79" t="n"/>
    </row>
    <row r="51">
      <c r="A51" s="79" t="n"/>
      <c r="B51" s="79" t="n"/>
      <c r="C51" s="79" t="n"/>
      <c r="D51" s="79" t="n"/>
      <c r="E51" s="79" t="n"/>
      <c r="F51" s="79" t="n"/>
      <c r="G51" s="79" t="n"/>
      <c r="H51" s="79" t="n"/>
      <c r="I51" s="79" t="n"/>
      <c r="J51" s="79" t="n"/>
      <c r="K51" s="79" t="n"/>
      <c r="L51" s="79" t="n"/>
      <c r="M51" s="79" t="n"/>
      <c r="N51" s="79" t="n"/>
      <c r="O51" s="79" t="n"/>
      <c r="P51" s="79" t="n"/>
      <c r="Q51" s="79" t="n"/>
      <c r="R51" s="79" t="n"/>
      <c r="S51" s="79" t="n"/>
      <c r="T51" s="79" t="n"/>
    </row>
    <row r="52">
      <c r="A52" s="79" t="n"/>
      <c r="B52" s="79" t="n"/>
      <c r="C52" s="79" t="n"/>
      <c r="D52" s="79" t="n"/>
      <c r="E52" s="79" t="n"/>
      <c r="F52" s="79" t="n"/>
      <c r="G52" s="79" t="n"/>
      <c r="H52" s="79" t="n"/>
      <c r="I52" s="79" t="n"/>
      <c r="J52" s="79" t="n"/>
      <c r="K52" s="79" t="n"/>
      <c r="L52" s="79" t="n"/>
      <c r="M52" s="79" t="n"/>
      <c r="N52" s="79" t="n"/>
      <c r="O52" s="79" t="n"/>
      <c r="P52" s="79" t="n"/>
      <c r="Q52" s="79" t="n"/>
      <c r="R52" s="79" t="n"/>
      <c r="S52" s="79" t="n"/>
      <c r="T52" s="79" t="n"/>
    </row>
    <row r="53">
      <c r="A53" s="79" t="n"/>
      <c r="B53" s="79" t="n"/>
      <c r="C53" s="79" t="n"/>
      <c r="D53" s="79" t="n"/>
      <c r="E53" s="79" t="n"/>
      <c r="F53" s="79" t="n"/>
      <c r="G53" s="79" t="n"/>
      <c r="H53" s="79" t="n"/>
      <c r="I53" s="79" t="n"/>
      <c r="J53" s="79" t="n"/>
      <c r="K53" s="79" t="n"/>
      <c r="L53" s="79" t="n"/>
      <c r="M53" s="79" t="n"/>
      <c r="N53" s="79" t="n"/>
      <c r="O53" s="79" t="n"/>
      <c r="P53" s="79" t="n"/>
      <c r="Q53" s="79" t="n"/>
      <c r="R53" s="79" t="n"/>
      <c r="S53" s="79" t="n"/>
      <c r="T53" s="79" t="n"/>
    </row>
    <row r="54">
      <c r="A54" s="79" t="n"/>
      <c r="B54" s="79" t="n"/>
      <c r="C54" s="79" t="n"/>
      <c r="D54" s="79" t="n"/>
      <c r="E54" s="79" t="n"/>
      <c r="F54" s="79" t="n"/>
      <c r="G54" s="79" t="n"/>
      <c r="H54" s="79" t="n"/>
      <c r="I54" s="79" t="n"/>
      <c r="J54" s="79" t="n"/>
      <c r="K54" s="79" t="n"/>
      <c r="L54" s="79" t="n"/>
      <c r="M54" s="79" t="n"/>
      <c r="N54" s="79" t="n"/>
      <c r="O54" s="79" t="n"/>
      <c r="P54" s="79" t="n"/>
      <c r="Q54" s="79" t="n"/>
      <c r="R54" s="79" t="n"/>
      <c r="S54" s="79" t="n"/>
      <c r="T54" s="79" t="n"/>
    </row>
    <row r="55">
      <c r="A55" s="79" t="n"/>
      <c r="B55" s="79" t="n"/>
      <c r="C55" s="79" t="n"/>
      <c r="D55" s="79" t="n"/>
      <c r="E55" s="79" t="n"/>
      <c r="F55" s="79" t="n"/>
      <c r="G55" s="79" t="n"/>
      <c r="H55" s="79" t="n"/>
      <c r="I55" s="79" t="n"/>
      <c r="J55" s="79" t="n"/>
      <c r="K55" s="79" t="n"/>
      <c r="L55" s="79" t="n"/>
      <c r="M55" s="79" t="n"/>
      <c r="N55" s="79" t="n"/>
      <c r="O55" s="79" t="n"/>
      <c r="P55" s="79" t="n"/>
      <c r="Q55" s="79" t="n"/>
      <c r="R55" s="79" t="n"/>
      <c r="S55" s="79" t="n"/>
      <c r="T55" s="79" t="n"/>
    </row>
    <row r="56">
      <c r="A56" s="79" t="n"/>
      <c r="B56" s="79" t="n"/>
      <c r="C56" s="79" t="n"/>
      <c r="D56" s="79" t="n"/>
      <c r="E56" s="79" t="n"/>
      <c r="F56" s="79" t="n"/>
      <c r="G56" s="79" t="n"/>
      <c r="H56" s="79" t="n"/>
      <c r="I56" s="79" t="n"/>
      <c r="J56" s="79" t="n"/>
      <c r="K56" s="79" t="n"/>
      <c r="L56" s="79" t="n"/>
      <c r="M56" s="79" t="n"/>
      <c r="N56" s="79" t="n"/>
      <c r="O56" s="79" t="n"/>
      <c r="P56" s="79" t="n"/>
      <c r="Q56" s="79" t="n"/>
      <c r="R56" s="79" t="n"/>
      <c r="S56" s="79" t="n"/>
      <c r="T56" s="79" t="n"/>
    </row>
    <row r="57">
      <c r="A57" s="79" t="n"/>
      <c r="B57" s="79" t="n"/>
      <c r="C57" s="79" t="n"/>
      <c r="D57" s="79" t="n"/>
      <c r="E57" s="79" t="n"/>
      <c r="F57" s="79" t="n"/>
      <c r="G57" s="79" t="n"/>
      <c r="H57" s="79" t="n"/>
      <c r="I57" s="79" t="n"/>
      <c r="J57" s="79" t="n"/>
      <c r="K57" s="79" t="n"/>
      <c r="L57" s="79" t="n"/>
      <c r="M57" s="79" t="n"/>
      <c r="N57" s="79" t="n"/>
      <c r="O57" s="79" t="n"/>
      <c r="P57" s="79" t="n"/>
      <c r="Q57" s="79" t="n"/>
      <c r="R57" s="79" t="n"/>
      <c r="S57" s="79" t="n"/>
      <c r="T57" s="79" t="n"/>
    </row>
    <row r="58">
      <c r="A58" s="79" t="n"/>
      <c r="B58" s="79" t="n"/>
      <c r="C58" s="79" t="n"/>
      <c r="D58" s="79" t="n"/>
      <c r="E58" s="79" t="n"/>
      <c r="F58" s="79" t="n"/>
      <c r="G58" s="79" t="n"/>
      <c r="H58" s="79" t="n"/>
      <c r="I58" s="79" t="n"/>
      <c r="J58" s="79" t="n"/>
      <c r="K58" s="79" t="n"/>
      <c r="L58" s="79" t="n"/>
      <c r="M58" s="79" t="n"/>
      <c r="N58" s="79" t="n"/>
      <c r="O58" s="79" t="n"/>
      <c r="P58" s="79" t="n"/>
      <c r="Q58" s="79" t="n"/>
      <c r="R58" s="79" t="n"/>
      <c r="S58" s="79" t="n"/>
      <c r="T58" s="79" t="n"/>
    </row>
    <row r="59">
      <c r="A59" s="79" t="n"/>
      <c r="B59" s="79" t="n"/>
      <c r="C59" s="79" t="n"/>
      <c r="D59" s="79" t="n"/>
      <c r="E59" s="79" t="n"/>
      <c r="F59" s="79" t="n"/>
      <c r="G59" s="79" t="n"/>
      <c r="H59" s="79" t="n"/>
      <c r="I59" s="79" t="n"/>
      <c r="J59" s="79" t="n"/>
      <c r="K59" s="79" t="n"/>
      <c r="L59" s="79" t="n"/>
      <c r="M59" s="79" t="n"/>
      <c r="N59" s="79" t="n"/>
      <c r="O59" s="79" t="n"/>
      <c r="P59" s="79" t="n"/>
      <c r="Q59" s="79" t="n"/>
      <c r="R59" s="79" t="n"/>
      <c r="S59" s="79" t="n"/>
      <c r="T59" s="79" t="n"/>
    </row>
    <row r="60">
      <c r="A60" s="79" t="n"/>
      <c r="B60" s="79" t="n"/>
      <c r="C60" s="79" t="n"/>
      <c r="D60" s="79" t="n"/>
      <c r="E60" s="79" t="n"/>
      <c r="F60" s="79" t="n"/>
      <c r="G60" s="79" t="n"/>
      <c r="H60" s="79" t="n"/>
      <c r="I60" s="79" t="n"/>
      <c r="J60" s="79" t="n"/>
      <c r="K60" s="79" t="n"/>
      <c r="L60" s="79" t="n"/>
      <c r="M60" s="79" t="n"/>
      <c r="N60" s="79" t="n"/>
      <c r="O60" s="79" t="n"/>
      <c r="P60" s="79" t="n"/>
      <c r="Q60" s="79" t="n"/>
      <c r="R60" s="79" t="n"/>
      <c r="S60" s="79" t="n"/>
      <c r="T60" s="79" t="n"/>
    </row>
  </sheetData>
  <sheetProtection selectLockedCells="0" selectUnlockedCells="0" sheet="1" objects="0" insertRows="1" insertHyperlinks="1" autoFilter="0" scenarios="0" formatColumns="0" deleteColumns="1" insertColumns="0" pivotTables="1" deleteRows="1" formatCells="0" formatRows="0" sort="0" password="BBBC"/>
  <mergeCells count="24">
    <mergeCell ref="B24:G24"/>
    <mergeCell ref="A1:G1"/>
    <mergeCell ref="B7:C7"/>
    <mergeCell ref="B36:G36"/>
    <mergeCell ref="D25:G25"/>
    <mergeCell ref="B8:G8"/>
    <mergeCell ref="B32:G32"/>
    <mergeCell ref="B35:G35"/>
    <mergeCell ref="B29:G29"/>
    <mergeCell ref="E6:G6"/>
    <mergeCell ref="B6:C6"/>
    <mergeCell ref="B34:G34"/>
    <mergeCell ref="B10:G10"/>
    <mergeCell ref="D26:G26"/>
    <mergeCell ref="B37:G37"/>
    <mergeCell ref="A3:G3"/>
    <mergeCell ref="B5:C5"/>
    <mergeCell ref="E5:G5"/>
    <mergeCell ref="B31:G31"/>
    <mergeCell ref="A39:G39"/>
    <mergeCell ref="A2:G2"/>
    <mergeCell ref="B30:G30"/>
    <mergeCell ref="E7:G7"/>
    <mergeCell ref="B33:G33"/>
  </mergeCells>
  <dataValidations count="2">
    <dataValidation sqref="D6" showDropDown="0" showInputMessage="0" showErrorMessage="1" allowBlank="0" type="list">
      <formula1>YesNoList</formula1>
    </dataValidation>
    <dataValidation sqref="D5 D7" showDropDown="0" showInputMessage="0" showErrorMessage="1" allowBlank="0" type="decimal" operator="between">
      <formula1>0</formula1>
      <formula2>0.45</formula2>
    </dataValidation>
  </dataValidations>
  <printOptions horizontalCentered="1"/>
  <pageMargins left="0.35" right="0.35" top="0.45" bottom="0.45" header="0.511811023622047" footer="0.511811023622047"/>
  <pageSetup orientation="portrait" paperSize="9" fitToHeight="0" fitToWidth="1" horizontalDpi="300" verticalDpi="300"/>
</worksheet>
</file>

<file path=xl/worksheets/sheet4.xml><?xml version="1.0" encoding="utf-8"?>
<worksheet xmlns="http://schemas.openxmlformats.org/spreadsheetml/2006/main">
  <sheetPr>
    <outlinePr summaryBelow="1" summaryRight="1"/>
    <pageSetUpPr fitToPage="1"/>
  </sheetPr>
  <dimension ref="A1:R35"/>
  <sheetViews>
    <sheetView showGridLines="0" tabSelected="1" topLeftCell="A11" zoomScaleNormal="100" workbookViewId="0">
      <selection activeCell="E28" sqref="E28"/>
    </sheetView>
  </sheetViews>
  <sheetFormatPr baseColWidth="8" defaultColWidth="8.6640625" defaultRowHeight="14.25" outlineLevelCol="0"/>
  <cols>
    <col width="26" customWidth="1" style="37" min="1" max="1"/>
    <col width="13" customWidth="1" style="37" min="2" max="5"/>
    <col width="9" customWidth="1" style="37" min="3" max="3"/>
    <col width="3" customWidth="1" style="37" min="4" max="4"/>
    <col width="3" customWidth="1" style="37" min="5" max="5"/>
    <col width="34" customWidth="1" style="37" min="6" max="6"/>
    <col width="10" customWidth="1" style="37" min="7" max="12"/>
    <col width="10" customWidth="1" style="37" min="8" max="8"/>
    <col width="10" customWidth="1" style="37" min="9" max="9"/>
    <col width="10" customWidth="1" style="37" min="10" max="10"/>
    <col width="10" customWidth="1" style="37" min="11" max="11"/>
    <col width="10" customWidth="1" style="37" min="12" max="12"/>
    <col width="14" customWidth="1" style="37" min="14" max="14"/>
    <col width="12" customWidth="1" style="37" min="15" max="15"/>
    <col width="12" customWidth="1" style="37" min="16" max="16"/>
    <col width="16" customWidth="1" style="37" min="17" max="17"/>
    <col width="62" customWidth="1" style="37" min="18" max="18"/>
  </cols>
  <sheetData>
    <row r="1" ht="27.75" customHeight="1" s="37">
      <c r="A1" s="39" t="inlineStr">
        <is>
          <t>CalcGuru</t>
        </is>
      </c>
    </row>
    <row r="2" ht="19.5" customHeight="1" s="37">
      <c r="A2" s="38" t="inlineStr">
        <is>
          <t>Cost Inflation Index &amp; Asset Rules</t>
        </is>
      </c>
    </row>
    <row r="3" ht="15.75" customHeight="1" s="37">
      <c r="A3" s="36" t="inlineStr">
        <is>
          <t>Reference data - used by the CG Register (do not delete rows)</t>
        </is>
      </c>
    </row>
    <row r="5" ht="15" customHeight="1" s="37">
      <c r="A5" s="1" t="inlineStr">
        <is>
          <t>Cost Inflation Index (Base 2001-02 = 100)</t>
        </is>
      </c>
      <c r="F5" s="1" t="inlineStr">
        <is>
          <t>Asset Type Rules (engine)</t>
        </is>
      </c>
      <c r="N5" s="47" t="inlineStr">
        <is>
          <t>Financial Year control (drives the whole file)</t>
        </is>
      </c>
    </row>
    <row r="6" ht="15" customHeight="1" s="37">
      <c r="A6" s="2" t="inlineStr">
        <is>
          <t>Financial Year</t>
        </is>
      </c>
      <c r="B6" s="2" t="inlineStr">
        <is>
          <t>FY Start Yr</t>
        </is>
      </c>
      <c r="C6" s="2" t="inlineStr">
        <is>
          <t>CII</t>
        </is>
      </c>
      <c r="F6" s="3" t="inlineStr">
        <is>
          <t>Asset Type</t>
        </is>
      </c>
      <c r="G6" s="3" t="inlineStr">
        <is>
          <t>LT months</t>
        </is>
      </c>
      <c r="H6" s="3" t="inlineStr">
        <is>
          <t>LT rate</t>
        </is>
      </c>
      <c r="I6" s="3" t="inlineStr">
        <is>
          <t>ST is slab</t>
        </is>
      </c>
      <c r="J6" s="3" t="inlineStr">
        <is>
          <t>Grandfather</t>
        </is>
      </c>
      <c r="K6" s="3" t="inlineStr">
        <is>
          <t>Index option</t>
        </is>
      </c>
      <c r="L6" s="3" t="inlineStr">
        <is>
          <t>Category</t>
        </is>
      </c>
      <c r="N6" s="48" t="inlineStr">
        <is>
          <t>FY</t>
        </is>
      </c>
      <c r="O6" s="48" t="inlineStr">
        <is>
          <t>FY starts</t>
        </is>
      </c>
      <c r="P6" s="48" t="inlineStr">
        <is>
          <t>FY ends</t>
        </is>
      </c>
      <c r="Q6" s="48" t="inlineStr">
        <is>
          <t>Assessment Year</t>
        </is>
      </c>
      <c r="R6" s="48" t="inlineStr">
        <is>
          <t>Governing Act &amp; sections</t>
        </is>
      </c>
    </row>
    <row r="7" ht="15" customHeight="1" s="37">
      <c r="A7" s="4" t="inlineStr">
        <is>
          <t>2001-02</t>
        </is>
      </c>
      <c r="B7" s="5" t="n">
        <v>2001</v>
      </c>
      <c r="C7" s="5" t="n">
        <v>100</v>
      </c>
      <c r="F7" s="49" t="inlineStr">
        <is>
          <t>Listed Equity / Equity MF (STT paid)</t>
        </is>
      </c>
      <c r="G7" s="50" t="n">
        <v>12</v>
      </c>
      <c r="H7" s="51" t="n">
        <v>0.125</v>
      </c>
      <c r="I7" s="50" t="n">
        <v>0</v>
      </c>
      <c r="J7" s="50" t="n">
        <v>1</v>
      </c>
      <c r="K7" s="50" t="n">
        <v>0</v>
      </c>
      <c r="L7" s="50" t="inlineStr">
        <is>
          <t>EQ</t>
        </is>
      </c>
      <c r="N7" s="49" t="inlineStr">
        <is>
          <t>FY 2025-26</t>
        </is>
      </c>
      <c r="O7" s="52" t="n">
        <v>45748</v>
      </c>
      <c r="P7" s="52" t="n">
        <v>46112</v>
      </c>
      <c r="Q7" s="50" t="inlineStr">
        <is>
          <t>AY 2026-27</t>
        </is>
      </c>
      <c r="R7" s="49" t="inlineStr">
        <is>
          <t>Income-tax Act, 1961 - s.111A (STCG) / s.112 (LTCG) / s.112A (equity LTCG)</t>
        </is>
      </c>
    </row>
    <row r="8" ht="15" customHeight="1" s="37">
      <c r="A8" s="4" t="inlineStr">
        <is>
          <t>2002-03</t>
        </is>
      </c>
      <c r="B8" s="5" t="n">
        <v>2002</v>
      </c>
      <c r="C8" s="5" t="n">
        <v>105</v>
      </c>
      <c r="F8" s="49" t="inlineStr">
        <is>
          <t>Other Listed Securities (bonds/REIT/InvIT/ETF)</t>
        </is>
      </c>
      <c r="G8" s="50" t="n">
        <v>12</v>
      </c>
      <c r="H8" s="51" t="n">
        <v>0.125</v>
      </c>
      <c r="I8" s="50" t="n">
        <v>1</v>
      </c>
      <c r="J8" s="50" t="n">
        <v>0</v>
      </c>
      <c r="K8" s="50" t="n">
        <v>0</v>
      </c>
      <c r="L8" s="50" t="inlineStr">
        <is>
          <t>FLAT</t>
        </is>
      </c>
      <c r="N8" s="49" t="inlineStr">
        <is>
          <t>FY 2026-27</t>
        </is>
      </c>
      <c r="O8" s="52" t="n">
        <v>46113</v>
      </c>
      <c r="P8" s="52" t="n">
        <v>46477</v>
      </c>
      <c r="Q8" s="50" t="inlineStr">
        <is>
          <t>AY 2027-28</t>
        </is>
      </c>
      <c r="R8" s="49" t="inlineStr">
        <is>
          <t>Income-tax Act, 2025 - s.196 (STCG) / s.197 (LTCG) / s.198 (equity LTCG)</t>
        </is>
      </c>
    </row>
    <row r="9" ht="15" customHeight="1" s="37">
      <c r="A9" s="4" t="inlineStr">
        <is>
          <t>2003-04</t>
        </is>
      </c>
      <c r="B9" s="5" t="n">
        <v>2003</v>
      </c>
      <c r="C9" s="5" t="n">
        <v>109</v>
      </c>
      <c r="F9" s="49" t="inlineStr">
        <is>
          <t>Land / Building (Property)</t>
        </is>
      </c>
      <c r="G9" s="50" t="n">
        <v>24</v>
      </c>
      <c r="H9" s="51" t="n">
        <v>0.125</v>
      </c>
      <c r="I9" s="50" t="n">
        <v>1</v>
      </c>
      <c r="J9" s="50" t="n">
        <v>0</v>
      </c>
      <c r="K9" s="50" t="n">
        <v>1</v>
      </c>
      <c r="L9" s="50" t="inlineStr">
        <is>
          <t>PROP</t>
        </is>
      </c>
    </row>
    <row r="10" ht="15" customHeight="1" s="37">
      <c r="A10" s="4" t="inlineStr">
        <is>
          <t>2004-05</t>
        </is>
      </c>
      <c r="B10" s="5" t="n">
        <v>2004</v>
      </c>
      <c r="C10" s="5" t="n">
        <v>113</v>
      </c>
      <c r="F10" s="49" t="inlineStr">
        <is>
          <t>Unlisted Shares</t>
        </is>
      </c>
      <c r="G10" s="50" t="n">
        <v>24</v>
      </c>
      <c r="H10" s="51" t="n">
        <v>0.125</v>
      </c>
      <c r="I10" s="50" t="n">
        <v>1</v>
      </c>
      <c r="J10" s="50" t="n">
        <v>0</v>
      </c>
      <c r="K10" s="50" t="n">
        <v>0</v>
      </c>
      <c r="L10" s="50" t="inlineStr">
        <is>
          <t>FLAT</t>
        </is>
      </c>
      <c r="N10" s="53" t="inlineStr">
        <is>
          <t>Yes/No</t>
        </is>
      </c>
    </row>
    <row r="11" ht="15" customHeight="1" s="37">
      <c r="A11" s="4" t="inlineStr">
        <is>
          <t>2005-06</t>
        </is>
      </c>
      <c r="B11" s="5" t="n">
        <v>2005</v>
      </c>
      <c r="C11" s="5" t="n">
        <v>117</v>
      </c>
      <c r="F11" s="49" t="inlineStr">
        <is>
          <t>Gold / Jewellery / Other Assets</t>
        </is>
      </c>
      <c r="G11" s="50" t="n">
        <v>24</v>
      </c>
      <c r="H11" s="51" t="n">
        <v>0.125</v>
      </c>
      <c r="I11" s="50" t="n">
        <v>1</v>
      </c>
      <c r="J11" s="50" t="n">
        <v>0</v>
      </c>
      <c r="K11" s="50" t="n">
        <v>0</v>
      </c>
      <c r="L11" s="50" t="inlineStr">
        <is>
          <t>FLAT</t>
        </is>
      </c>
      <c r="N11" s="54" t="inlineStr">
        <is>
          <t>Yes</t>
        </is>
      </c>
    </row>
    <row r="12" ht="15" customHeight="1" s="37">
      <c r="A12" s="4" t="inlineStr">
        <is>
          <t>2006-07</t>
        </is>
      </c>
      <c r="B12" s="5" t="n">
        <v>2006</v>
      </c>
      <c r="C12" s="5" t="n">
        <v>122</v>
      </c>
      <c r="F12" s="49" t="inlineStr">
        <is>
          <t>Debt MF bought before 01-Apr-2023</t>
        </is>
      </c>
      <c r="G12" s="50" t="n">
        <v>24</v>
      </c>
      <c r="H12" s="51" t="n">
        <v>0.125</v>
      </c>
      <c r="I12" s="50" t="n">
        <v>1</v>
      </c>
      <c r="J12" s="50" t="n">
        <v>0</v>
      </c>
      <c r="K12" s="50" t="n">
        <v>0</v>
      </c>
      <c r="L12" s="50" t="inlineStr">
        <is>
          <t>FLAT</t>
        </is>
      </c>
      <c r="N12" s="54" t="inlineStr">
        <is>
          <t>No</t>
        </is>
      </c>
    </row>
    <row r="13" ht="15" customHeight="1" s="37">
      <c r="A13" s="4" t="inlineStr">
        <is>
          <t>2007-08</t>
        </is>
      </c>
      <c r="B13" s="5" t="n">
        <v>2007</v>
      </c>
      <c r="C13" s="5" t="n">
        <v>129</v>
      </c>
      <c r="F13" s="49" t="inlineStr">
        <is>
          <t>Debt MF bought on/after 01-Apr-2023 (s.50AA)</t>
        </is>
      </c>
      <c r="G13" s="50" t="n">
        <v>9999</v>
      </c>
      <c r="H13" s="51" t="n">
        <v>0</v>
      </c>
      <c r="I13" s="50" t="n">
        <v>1</v>
      </c>
      <c r="J13" s="50" t="n">
        <v>0</v>
      </c>
      <c r="K13" s="50" t="n">
        <v>0</v>
      </c>
      <c r="L13" s="50" t="inlineStr">
        <is>
          <t>SLABONLY</t>
        </is>
      </c>
    </row>
    <row r="14" ht="15" customHeight="1" s="37">
      <c r="A14" s="4" t="inlineStr">
        <is>
          <t>2008-09</t>
        </is>
      </c>
      <c r="B14" s="5" t="n">
        <v>2008</v>
      </c>
      <c r="C14" s="5" t="n">
        <v>137</v>
      </c>
      <c r="F14" s="49" t="inlineStr">
        <is>
          <t>Unlisted Bonds / Debentures / MLD (s.50AA)</t>
        </is>
      </c>
      <c r="G14" s="50" t="n">
        <v>9999</v>
      </c>
      <c r="H14" s="51" t="n">
        <v>0</v>
      </c>
      <c r="I14" s="50" t="n">
        <v>1</v>
      </c>
      <c r="J14" s="50" t="n">
        <v>0</v>
      </c>
      <c r="K14" s="50" t="n">
        <v>0</v>
      </c>
      <c r="L14" s="50" t="inlineStr">
        <is>
          <t>SLABONLY</t>
        </is>
      </c>
      <c r="N14" s="55" t="inlineStr">
        <is>
          <t>The rates are IDENTICAL for both years. The Income-tax Act, 2025 (in force from</t>
        </is>
      </c>
    </row>
    <row r="15" ht="15" customHeight="1" s="37">
      <c r="A15" s="4" t="inlineStr">
        <is>
          <t>2009-10</t>
        </is>
      </c>
      <c r="B15" s="5" t="n">
        <v>2009</v>
      </c>
      <c r="C15" s="5" t="n">
        <v>148</v>
      </c>
      <c r="N15" s="55" t="inlineStr">
        <is>
          <t>1 Apr 2026) only renumbers the sections - Finance (No.2) Act, 2024 set the rates,</t>
        </is>
      </c>
    </row>
    <row r="16" ht="15" customHeight="1" s="37">
      <c r="A16" s="4" t="inlineStr">
        <is>
          <t>2010-11</t>
        </is>
      </c>
      <c r="B16" s="5" t="n">
        <v>2010</v>
      </c>
      <c r="C16" s="5" t="n">
        <v>167</v>
      </c>
      <c r="N16" s="55" t="inlineStr">
        <is>
          <t>and neither Budget 2025 nor Budget 2026 changed them. Verified July 2026.</t>
        </is>
      </c>
    </row>
    <row r="17" ht="15" customHeight="1" s="37">
      <c r="A17" s="4" t="inlineStr">
        <is>
          <t>2011-12</t>
        </is>
      </c>
      <c r="B17" s="5" t="n">
        <v>2011</v>
      </c>
      <c r="C17" s="5" t="n">
        <v>184</v>
      </c>
    </row>
    <row r="18" ht="15" customHeight="1" s="37">
      <c r="A18" s="4" t="inlineStr">
        <is>
          <t>2012-13</t>
        </is>
      </c>
      <c r="B18" s="5" t="n">
        <v>2012</v>
      </c>
      <c r="C18" s="5" t="n">
        <v>200</v>
      </c>
    </row>
    <row r="19" ht="15" customHeight="1" s="37">
      <c r="A19" s="4" t="inlineStr">
        <is>
          <t>2013-14</t>
        </is>
      </c>
      <c r="B19" s="5" t="n">
        <v>2013</v>
      </c>
      <c r="C19" s="5" t="n">
        <v>220</v>
      </c>
    </row>
    <row r="20" ht="15" customHeight="1" s="37">
      <c r="A20" s="4" t="inlineStr">
        <is>
          <t>2014-15</t>
        </is>
      </c>
      <c r="B20" s="5" t="n">
        <v>2014</v>
      </c>
      <c r="C20" s="5" t="n">
        <v>240</v>
      </c>
    </row>
    <row r="21" ht="15" customHeight="1" s="37">
      <c r="A21" s="4" t="inlineStr">
        <is>
          <t>2015-16</t>
        </is>
      </c>
      <c r="B21" s="5" t="n">
        <v>2015</v>
      </c>
      <c r="C21" s="5" t="n">
        <v>254</v>
      </c>
    </row>
    <row r="22" ht="15" customHeight="1" s="37">
      <c r="A22" s="4" t="inlineStr">
        <is>
          <t>2016-17</t>
        </is>
      </c>
      <c r="B22" s="5" t="n">
        <v>2016</v>
      </c>
      <c r="C22" s="5" t="n">
        <v>264</v>
      </c>
    </row>
    <row r="23" ht="15" customHeight="1" s="37">
      <c r="A23" s="4" t="inlineStr">
        <is>
          <t>2017-18</t>
        </is>
      </c>
      <c r="B23" s="5" t="n">
        <v>2017</v>
      </c>
      <c r="C23" s="5" t="n">
        <v>272</v>
      </c>
    </row>
    <row r="24" ht="15" customHeight="1" s="37">
      <c r="A24" s="4" t="inlineStr">
        <is>
          <t>2018-19</t>
        </is>
      </c>
      <c r="B24" s="5" t="n">
        <v>2018</v>
      </c>
      <c r="C24" s="5" t="n">
        <v>280</v>
      </c>
    </row>
    <row r="25" ht="15" customHeight="1" s="37">
      <c r="A25" s="4" t="inlineStr">
        <is>
          <t>2019-20</t>
        </is>
      </c>
      <c r="B25" s="5" t="n">
        <v>2019</v>
      </c>
      <c r="C25" s="5" t="n">
        <v>289</v>
      </c>
    </row>
    <row r="26" ht="15" customHeight="1" s="37">
      <c r="A26" s="4" t="inlineStr">
        <is>
          <t>2020-21</t>
        </is>
      </c>
      <c r="B26" s="5" t="n">
        <v>2020</v>
      </c>
      <c r="C26" s="5" t="n">
        <v>301</v>
      </c>
    </row>
    <row r="27" ht="15" customHeight="1" s="37">
      <c r="A27" s="4" t="inlineStr">
        <is>
          <t>2021-22</t>
        </is>
      </c>
      <c r="B27" s="5" t="n">
        <v>2021</v>
      </c>
      <c r="C27" s="5" t="n">
        <v>317</v>
      </c>
    </row>
    <row r="28" ht="15" customHeight="1" s="37">
      <c r="A28" s="4" t="inlineStr">
        <is>
          <t>2022-23</t>
        </is>
      </c>
      <c r="B28" s="5" t="n">
        <v>2022</v>
      </c>
      <c r="C28" s="5" t="n">
        <v>331</v>
      </c>
    </row>
    <row r="29" ht="15" customHeight="1" s="37">
      <c r="A29" s="4" t="inlineStr">
        <is>
          <t>2023-24</t>
        </is>
      </c>
      <c r="B29" s="5" t="n">
        <v>2023</v>
      </c>
      <c r="C29" s="5" t="n">
        <v>348</v>
      </c>
    </row>
    <row r="30" ht="15" customHeight="1" s="37">
      <c r="A30" s="4" t="inlineStr">
        <is>
          <t>2024-25</t>
        </is>
      </c>
      <c r="B30" s="5" t="n">
        <v>2024</v>
      </c>
      <c r="C30" s="5" t="n">
        <v>363</v>
      </c>
    </row>
    <row r="31" ht="15" customHeight="1" s="37">
      <c r="A31" s="4" t="inlineStr">
        <is>
          <t>2025-26</t>
        </is>
      </c>
      <c r="B31" s="5" t="n">
        <v>2025</v>
      </c>
      <c r="C31" s="5" t="n">
        <v>376</v>
      </c>
    </row>
    <row r="32" ht="15" customHeight="1" s="37">
      <c r="A32" s="4" t="inlineStr">
        <is>
          <t>2026-27</t>
        </is>
      </c>
      <c r="B32" s="5" t="n">
        <v>2026</v>
      </c>
      <c r="C32" s="56" t="n">
        <v>376</v>
      </c>
      <c r="D32" s="57" t="n"/>
    </row>
    <row r="33" ht="30" customHeight="1" s="37">
      <c r="A33" s="58" t="inlineStr">
        <is>
          <t>CII for FY 2026-27 is NOT yet notified by CBDT (checked July 2026; it is normally notified around June-July). The 376 above is a PLACEHOLDER carried over from FY 2025-26 - it understates indexation, so the 20%-with-indexation option will look slightly worse than it really is. Replace it the moment CBDT notifies. It only affects property bought before 23-Jul-2024 and sold in FY 2026-27.</t>
        </is>
      </c>
      <c r="F33" s="57" t="inlineStr"/>
    </row>
    <row r="34" ht="30" customHeight="1" s="37"/>
    <row r="35" ht="15" customHeight="1" s="37">
      <c r="A35" s="43" t="inlineStr">
        <is>
          <t>Prepared by CA Tirumalesh Malla  |  calcguru.in  |  Free CA working files &amp; calculators</t>
        </is>
      </c>
    </row>
  </sheetData>
  <sheetProtection selectLockedCells="0" selectUnlockedCells="0" sheet="1" objects="0" insertRows="1" insertHyperlinks="1" autoFilter="0" scenarios="0" formatColumns="0" deleteColumns="1" insertColumns="0" pivotTables="1" deleteRows="1" formatCells="0" formatRows="0" sort="0" password="BBBC"/>
  <mergeCells count="5">
    <mergeCell ref="A2:L2"/>
    <mergeCell ref="A1:L1"/>
    <mergeCell ref="A33:C34"/>
    <mergeCell ref="A3:L3"/>
    <mergeCell ref="A35:L35"/>
  </mergeCells>
  <printOptions horizontalCentered="1"/>
  <pageMargins left="0.35" right="0.35" top="0.45" bottom="0.45" header="0.511811023622047" footer="0.511811023622047"/>
  <pageSetup orientation="landscape" paperSize="9" fitToHeight="0" fitToWidth="1" horizontalDpi="300" verticalDpi="300"/>
</worksheet>
</file>

<file path=xl/worksheets/sheet5.xml><?xml version="1.0" encoding="utf-8"?>
<worksheet xmlns="http://schemas.openxmlformats.org/spreadsheetml/2006/main">
  <sheetPr>
    <outlinePr summaryBelow="1" summaryRight="1"/>
    <pageSetUpPr/>
  </sheetPr>
  <dimension ref="A2:B57"/>
  <sheetViews>
    <sheetView workbookViewId="0">
      <selection activeCell="A1" sqref="A1"/>
    </sheetView>
  </sheetViews>
  <sheetFormatPr baseColWidth="8" defaultRowHeight="15"/>
  <sheetData>
    <row r="2">
      <c r="A2" s="57" t="inlineStr">
        <is>
          <t>net EQ-ST</t>
        </is>
      </c>
      <c r="B2" s="113">
        <f>SUMIF('CG Register'!$P$9:$P$208,"EQ-ST",'CG Register'!$O$9:$O$208)</f>
        <v/>
      </c>
    </row>
    <row r="3">
      <c r="A3" s="57" t="inlineStr">
        <is>
          <t>net EQ-LT</t>
        </is>
      </c>
      <c r="B3" s="113">
        <f>SUMIF('CG Register'!$P$9:$P$208,"EQ-LT",'CG Register'!$O$9:$O$208)</f>
        <v/>
      </c>
    </row>
    <row r="4">
      <c r="A4" s="57" t="inlineStr">
        <is>
          <t>net PROP-LT</t>
        </is>
      </c>
      <c r="B4" s="113">
        <f>SUMIF('CG Register'!$P$9:$P$208,"PROP-LT",'CG Register'!$O$9:$O$208)</f>
        <v/>
      </c>
    </row>
    <row r="5">
      <c r="A5" s="57" t="inlineStr">
        <is>
          <t>net FLAT-LT</t>
        </is>
      </c>
      <c r="B5" s="113">
        <f>SUMIF('CG Register'!$P$9:$P$208,"FLAT-LT",'CG Register'!$O$9:$O$208)</f>
        <v/>
      </c>
    </row>
    <row r="6">
      <c r="A6" s="57" t="inlineStr">
        <is>
          <t>net SLAB</t>
        </is>
      </c>
      <c r="B6" s="113">
        <f>SUMIF('CG Register'!$P$9:$P$208,"SLAB",'CG Register'!$O$9:$O$208)</f>
        <v/>
      </c>
    </row>
    <row r="8">
      <c r="A8" s="57" t="inlineStr">
        <is>
          <t>gain EQ-ST</t>
        </is>
      </c>
      <c r="B8" s="113">
        <f>MAX(0,Engine!$B$2)</f>
        <v/>
      </c>
    </row>
    <row r="9">
      <c r="A9" s="57" t="inlineStr">
        <is>
          <t>gain EQ-LT</t>
        </is>
      </c>
      <c r="B9" s="113">
        <f>MAX(0,Engine!$B$3)</f>
        <v/>
      </c>
    </row>
    <row r="10">
      <c r="A10" s="57" t="inlineStr">
        <is>
          <t>gain PROP</t>
        </is>
      </c>
      <c r="B10" s="113">
        <f>MAX(0,Engine!$B$4)</f>
        <v/>
      </c>
    </row>
    <row r="11">
      <c r="A11" s="57" t="inlineStr">
        <is>
          <t>gain FLAT</t>
        </is>
      </c>
      <c r="B11" s="113">
        <f>MAX(0,Engine!$B$5)</f>
        <v/>
      </c>
    </row>
    <row r="12">
      <c r="A12" s="57" t="inlineStr">
        <is>
          <t>gain SLAB</t>
        </is>
      </c>
      <c r="B12" s="113">
        <f>MAX(0,Engine!$B$6)</f>
        <v/>
      </c>
    </row>
    <row r="14">
      <c r="A14" s="57" t="inlineStr">
        <is>
          <t>STCL avail</t>
        </is>
      </c>
      <c r="B14" s="113">
        <f>-(MIN(0,Engine!$B$2)+MIN(0,Engine!$B$6))</f>
        <v/>
      </c>
    </row>
    <row r="15">
      <c r="A15" s="57" t="inlineStr">
        <is>
          <t>LTCL avail</t>
        </is>
      </c>
      <c r="B15" s="113">
        <f>-(MIN(0,Engine!$B$3)+MIN(0,Engine!$B$4)+MIN(0,Engine!$B$5))</f>
        <v/>
      </c>
    </row>
    <row r="17">
      <c r="A17" s="57" t="inlineStr">
        <is>
          <t>prop tax gross</t>
        </is>
      </c>
      <c r="B17" s="113">
        <f>SUMIF('CG Register'!$P$9:$P$208,"PROP-LT",'CG Register'!$Q$9:$Q$208)</f>
        <v/>
      </c>
    </row>
    <row r="18">
      <c r="A18" s="57" t="inlineStr">
        <is>
          <t>prop gains +ve</t>
        </is>
      </c>
      <c r="B18" s="113">
        <f>SUMIFS('CG Register'!$O$9:$O$208,'CG Register'!$P$9:$P$208,"PROP-LT",'CG Register'!$O$9:$O$208,"&gt;0")</f>
        <v/>
      </c>
    </row>
    <row r="19">
      <c r="A19" s="57" t="inlineStr">
        <is>
          <t>prop eff rate</t>
        </is>
      </c>
      <c r="B19" s="114">
        <f>IF(Engine!$B$18&gt;0,Engine!$B$17/Engine!$B$18,0.125)</f>
        <v/>
      </c>
    </row>
    <row r="21">
      <c r="A21" s="57" t="inlineStr">
        <is>
          <t>LTCL-&gt;FLAT</t>
        </is>
      </c>
      <c r="B21" s="113">
        <f>MIN(Engine!$B$15,Engine!$B$11)</f>
        <v/>
      </c>
    </row>
    <row r="22">
      <c r="A22" s="57" t="inlineStr">
        <is>
          <t>rem</t>
        </is>
      </c>
      <c r="B22" s="113">
        <f>Engine!$B$15-Engine!$B$21</f>
        <v/>
      </c>
    </row>
    <row r="23">
      <c r="A23" s="57" t="inlineStr">
        <is>
          <t>EQ-LT above exemption</t>
        </is>
      </c>
      <c r="B23" s="113">
        <f>MAX(0,Engine!$B$9-125000)</f>
        <v/>
      </c>
    </row>
    <row r="24">
      <c r="A24" s="57" t="inlineStr">
        <is>
          <t>LTCL-&gt;EQ-LT</t>
        </is>
      </c>
      <c r="B24" s="113">
        <f>MIN(Engine!$B$22,Engine!$B$23)</f>
        <v/>
      </c>
    </row>
    <row r="25">
      <c r="A25" s="57" t="inlineStr">
        <is>
          <t>rem</t>
        </is>
      </c>
      <c r="B25" s="113">
        <f>Engine!$B$22-Engine!$B$24</f>
        <v/>
      </c>
    </row>
    <row r="26">
      <c r="A26" s="57" t="inlineStr">
        <is>
          <t>LTCL-&gt;PROP</t>
        </is>
      </c>
      <c r="B26" s="113">
        <f>MIN(Engine!$B$25,Engine!$B$10)</f>
        <v/>
      </c>
    </row>
    <row r="27">
      <c r="A27" s="57" t="inlineStr">
        <is>
          <t>LTCL c/f</t>
        </is>
      </c>
      <c r="B27" s="113">
        <f>Engine!$B$25-Engine!$B$26</f>
        <v/>
      </c>
    </row>
    <row r="29">
      <c r="A29" s="57" t="inlineStr">
        <is>
          <t>FLAT after LTCL</t>
        </is>
      </c>
      <c r="B29" s="113">
        <f>Engine!$B$11-Engine!$B$21</f>
        <v/>
      </c>
    </row>
    <row r="30">
      <c r="A30" s="57" t="inlineStr">
        <is>
          <t>PROP after LTCL</t>
        </is>
      </c>
      <c r="B30" s="113">
        <f>Engine!$B$10-Engine!$B$26</f>
        <v/>
      </c>
    </row>
    <row r="31">
      <c r="A31" s="57" t="inlineStr">
        <is>
          <t>EQ-LT after LTCL</t>
        </is>
      </c>
      <c r="B31" s="113">
        <f>Engine!$B$9-Engine!$B$24</f>
        <v/>
      </c>
    </row>
    <row r="33">
      <c r="A33" s="57" t="inlineStr">
        <is>
          <t>ST target 1</t>
        </is>
      </c>
      <c r="B33" s="113">
        <f>IF(Slab_Rate&gt;=0.2,Engine!$B$12,Engine!$B$8)</f>
        <v/>
      </c>
    </row>
    <row r="34">
      <c r="A34" s="57" t="inlineStr">
        <is>
          <t>ST target 2</t>
        </is>
      </c>
      <c r="B34" s="113">
        <f>IF(Slab_Rate&gt;=0.2,Engine!$B$8,Engine!$B$12)</f>
        <v/>
      </c>
    </row>
    <row r="35">
      <c r="A35" s="57" t="inlineStr">
        <is>
          <t>STCL-&gt;1</t>
        </is>
      </c>
      <c r="B35" s="113">
        <f>MIN(Engine!$B$14,Engine!$B$33)</f>
        <v/>
      </c>
    </row>
    <row r="36">
      <c r="A36" s="57" t="inlineStr">
        <is>
          <t>rem</t>
        </is>
      </c>
      <c r="B36" s="113">
        <f>Engine!$B$14-Engine!$B$35</f>
        <v/>
      </c>
    </row>
    <row r="37">
      <c r="A37" s="57" t="inlineStr">
        <is>
          <t>STCL-&gt;2</t>
        </is>
      </c>
      <c r="B37" s="113">
        <f>MIN(Engine!$B$36,Engine!$B$34)</f>
        <v/>
      </c>
    </row>
    <row r="38">
      <c r="A38" s="57" t="inlineStr">
        <is>
          <t>rem</t>
        </is>
      </c>
      <c r="B38" s="113">
        <f>Engine!$B$36-Engine!$B$37</f>
        <v/>
      </c>
    </row>
    <row r="39">
      <c r="A39" s="57" t="inlineStr">
        <is>
          <t>STCL-&gt;FLAT</t>
        </is>
      </c>
      <c r="B39" s="113">
        <f>MIN(Engine!$B$38,Engine!$B$29)</f>
        <v/>
      </c>
    </row>
    <row r="40">
      <c r="A40" s="57" t="inlineStr">
        <is>
          <t>rem</t>
        </is>
      </c>
      <c r="B40" s="113">
        <f>Engine!$B$38-Engine!$B$39</f>
        <v/>
      </c>
    </row>
    <row r="41">
      <c r="A41" s="57" t="inlineStr">
        <is>
          <t>EQ-LT above exemption (2)</t>
        </is>
      </c>
      <c r="B41" s="113">
        <f>MAX(0,Engine!$B$31-125000)</f>
        <v/>
      </c>
    </row>
    <row r="42">
      <c r="A42" s="57" t="inlineStr">
        <is>
          <t>STCL-&gt;EQ-LT</t>
        </is>
      </c>
      <c r="B42" s="113">
        <f>MIN(Engine!$B$40,Engine!$B$41)</f>
        <v/>
      </c>
    </row>
    <row r="43">
      <c r="A43" s="57" t="inlineStr">
        <is>
          <t>rem</t>
        </is>
      </c>
      <c r="B43" s="113">
        <f>Engine!$B$40-Engine!$B$42</f>
        <v/>
      </c>
    </row>
    <row r="44">
      <c r="A44" s="57" t="inlineStr">
        <is>
          <t>STCL-&gt;PROP</t>
        </is>
      </c>
      <c r="B44" s="113">
        <f>MIN(Engine!$B$43,Engine!$B$30)</f>
        <v/>
      </c>
    </row>
    <row r="45">
      <c r="A45" s="57" t="inlineStr">
        <is>
          <t>STCL c/f</t>
        </is>
      </c>
      <c r="B45" s="113">
        <f>Engine!$B$43-Engine!$B$44</f>
        <v/>
      </c>
    </row>
    <row r="47">
      <c r="A47" s="57" t="inlineStr">
        <is>
          <t>SLAB final</t>
        </is>
      </c>
      <c r="B47" s="113">
        <f>Engine!$B$12-IF(Slab_Rate&gt;=0.2,Engine!$B$35,Engine!$B$37)</f>
        <v/>
      </c>
    </row>
    <row r="48">
      <c r="A48" s="57" t="inlineStr">
        <is>
          <t>EQ-ST final</t>
        </is>
      </c>
      <c r="B48" s="113">
        <f>Engine!$B$8-IF(Slab_Rate&gt;=0.2,Engine!$B$37,Engine!$B$35)</f>
        <v/>
      </c>
    </row>
    <row r="49">
      <c r="A49" s="57" t="inlineStr">
        <is>
          <t>FLAT final</t>
        </is>
      </c>
      <c r="B49" s="113">
        <f>Engine!$B$29-Engine!$B$39</f>
        <v/>
      </c>
    </row>
    <row r="50">
      <c r="A50" s="57" t="inlineStr">
        <is>
          <t>PROP final</t>
        </is>
      </c>
      <c r="B50" s="113">
        <f>Engine!$B$30-Engine!$B$44</f>
        <v/>
      </c>
    </row>
    <row r="51">
      <c r="A51" s="57" t="inlineStr">
        <is>
          <t>EQ-LT final</t>
        </is>
      </c>
      <c r="B51" s="113">
        <f>Engine!$B$31-Engine!$B$42</f>
        <v/>
      </c>
    </row>
    <row r="53">
      <c r="A53" s="57" t="inlineStr">
        <is>
          <t>so SLAB</t>
        </is>
      </c>
      <c r="B53" s="113">
        <f>IF(Slab_Rate&gt;=0.2,Engine!$B$35,Engine!$B$37)</f>
        <v/>
      </c>
    </row>
    <row r="54">
      <c r="A54" s="57" t="inlineStr">
        <is>
          <t>so EQ-ST</t>
        </is>
      </c>
      <c r="B54" s="113">
        <f>IF(Slab_Rate&gt;=0.2,Engine!$B$37,Engine!$B$35)</f>
        <v/>
      </c>
    </row>
    <row r="55">
      <c r="A55" s="57" t="inlineStr">
        <is>
          <t>so FLAT</t>
        </is>
      </c>
      <c r="B55" s="113">
        <f>Engine!$B$21+Engine!$B$39</f>
        <v/>
      </c>
    </row>
    <row r="56">
      <c r="A56" s="57" t="inlineStr">
        <is>
          <t>so PROP</t>
        </is>
      </c>
      <c r="B56" s="113">
        <f>Engine!$B$26+Engine!$B$44</f>
        <v/>
      </c>
    </row>
    <row r="57">
      <c r="A57" s="57" t="inlineStr">
        <is>
          <t>so EQ-LT</t>
        </is>
      </c>
      <c r="B57" s="113">
        <f>Engine!$B$24+Engine!$B$42</f>
        <v/>
      </c>
    </row>
  </sheetData>
  <sheetProtection selectLockedCells="0" selectUnlockedCells="0" sheet="1" objects="0" insertRows="1" insertHyperlinks="1" autoFilter="1" scenarios="0" formatColumns="1" deleteColumns="1" insertColumns="1" pivotTables="1" deleteRows="1" formatCells="0" formatRows="1" sort="1" password="BBBC"/>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language xmlns:dc="http://purl.org/dc/elements/1.1/">en-US</dc:language>
  <dcterms:created xmlns:dcterms="http://purl.org/dc/terms/" xmlns:xsi="http://www.w3.org/2001/XMLSchema-instance" xsi:type="dcterms:W3CDTF">2026-06-11T05:48:39Z</dcterms:created>
  <dcterms:modified xmlns:dcterms="http://purl.org/dc/terms/" xmlns:xsi="http://www.w3.org/2001/XMLSchema-instance" xsi:type="dcterms:W3CDTF">2026-07-12T16:14:04Z</dcterms:modified>
  <cp:lastModifiedBy>Tirumalesh Malla</cp:lastModifiedBy>
  <cp:revision>0</cp:revision>
</cp:coreProperties>
</file>