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30131"/>
  <workbookPr/>
  <mc:AlternateContent xmlns:mc="http://schemas.openxmlformats.org/markup-compatibility/2006">
    <mc:Choice Requires="x15">
      <x15ac:absPath xmlns:x15ac="http://schemas.microsoft.com/office/spreadsheetml/2010/11/ac" url="https://d.docs.live.net/59a8017279c38552/Documents/Claude/Projects/CalcGuru Website Project/"/>
    </mc:Choice>
  </mc:AlternateContent>
  <xr:revisionPtr revIDLastSave="3" documentId="11_F2CD927857117300D7BA61B19C8B67E7B41CF632" xr6:coauthVersionLast="47" xr6:coauthVersionMax="47" xr10:uidLastSave="{704004FB-3792-462C-83A5-75F093D6E411}"/>
  <bookViews>
    <workbookView xWindow="-98" yWindow="-98" windowWidth="21795" windowHeight="12975" tabRatio="500" activeTab="3" xr2:uid="{00000000-000D-0000-FFFF-FFFF00000000}"/>
  </bookViews>
  <sheets>
    <sheet name="Cover" sheetId="1" r:id="rId1"/>
    <sheet name="CTC Breakup" sheetId="2" r:id="rId2"/>
    <sheet name="Tax Optimisation" sheetId="3" r:id="rId3"/>
    <sheet name="HRA Exemption" sheetId="4" r:id="rId4"/>
  </sheets>
  <calcPr calcId="191029" iterateDelta="1E-4"/>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11" i="4" l="1"/>
  <c r="C41" i="3"/>
  <c r="C40" i="3"/>
  <c r="C39" i="3"/>
  <c r="C38" i="3"/>
  <c r="C37" i="3"/>
  <c r="C35" i="3"/>
  <c r="D46" i="2"/>
  <c r="C39" i="2"/>
  <c r="D39" i="2" s="1"/>
  <c r="C27" i="2"/>
  <c r="C38" i="2" s="1"/>
  <c r="D38" i="2" s="1"/>
  <c r="C45" i="2" l="1"/>
  <c r="D45" i="2" s="1"/>
  <c r="C28" i="2"/>
  <c r="C9" i="4" s="1"/>
  <c r="C14" i="4" s="1"/>
  <c r="D27" i="2"/>
  <c r="C7" i="4"/>
  <c r="C15" i="4" s="1"/>
  <c r="C37" i="2"/>
  <c r="D28" i="2" l="1"/>
  <c r="D37" i="2"/>
  <c r="C16" i="4"/>
  <c r="C17" i="4" s="1"/>
  <c r="C29" i="2"/>
  <c r="C10" i="3" l="1"/>
  <c r="C28" i="3" s="1"/>
  <c r="C18" i="4"/>
  <c r="D29" i="2"/>
  <c r="C8" i="3"/>
  <c r="C30" i="2"/>
  <c r="C12" i="3" l="1"/>
  <c r="C30" i="3" s="1"/>
  <c r="D30" i="2"/>
  <c r="C31" i="2"/>
  <c r="C32" i="2" l="1"/>
  <c r="C13" i="3"/>
  <c r="C31" i="3" s="1"/>
  <c r="D31" i="2"/>
  <c r="C14" i="3" l="1"/>
  <c r="D32" i="2"/>
  <c r="C33" i="2"/>
  <c r="D33" i="2" l="1"/>
  <c r="C15" i="3"/>
  <c r="C34" i="2"/>
  <c r="C35" i="2" s="1"/>
  <c r="D35" i="2" s="1"/>
  <c r="D32" i="3"/>
  <c r="C32" i="3"/>
  <c r="C44" i="2" l="1"/>
  <c r="D33" i="3"/>
  <c r="C33" i="3"/>
  <c r="C47" i="2"/>
  <c r="D44" i="2"/>
  <c r="C7" i="3"/>
  <c r="C9" i="3" s="1"/>
  <c r="B41" i="2"/>
  <c r="C40" i="2"/>
  <c r="C16" i="3"/>
  <c r="C29" i="3" s="1"/>
  <c r="D34" i="2"/>
  <c r="G8" i="2" l="1"/>
  <c r="D40" i="2"/>
  <c r="G11" i="2"/>
  <c r="G12" i="2"/>
  <c r="G13" i="2"/>
  <c r="D27" i="3"/>
  <c r="D36" i="3" s="1"/>
  <c r="D42" i="3" s="1"/>
  <c r="C27" i="3"/>
  <c r="C36" i="3" s="1"/>
  <c r="C42" i="3" s="1"/>
  <c r="G9" i="2"/>
  <c r="D47" i="2"/>
  <c r="G10" i="2" l="1"/>
  <c r="D43" i="3"/>
  <c r="C43" i="3"/>
  <c r="C44" i="3"/>
  <c r="C45" i="3" l="1"/>
  <c r="D44" i="3"/>
  <c r="D45" i="3" s="1"/>
  <c r="D46" i="3" l="1"/>
  <c r="D47" i="3" s="1"/>
  <c r="C46" i="3"/>
  <c r="C47" i="3" s="1"/>
  <c r="C48" i="3" s="1"/>
  <c r="B51" i="3" l="1"/>
  <c r="D48" i="3"/>
</calcChain>
</file>

<file path=xl/sharedStrings.xml><?xml version="1.0" encoding="utf-8"?>
<sst xmlns="http://schemas.openxmlformats.org/spreadsheetml/2006/main" count="168" uniqueCount="158">
  <si>
    <t>CalcGuru  |  calcguru.in</t>
  </si>
  <si>
    <t>CTC Breakup — Annual &amp; Monthly</t>
  </si>
  <si>
    <t>Prepared by CA Tirumalesh Malla  |  https://calcguru.in</t>
  </si>
  <si>
    <t>Fill yellow cells; Sec 10(14) allowances pre-filled to max-exempt limits</t>
  </si>
  <si>
    <t>Core Inputs</t>
  </si>
  <si>
    <t>Total CTC (₹ p.a.)</t>
  </si>
  <si>
    <t>Quick Summary</t>
  </si>
  <si>
    <t>Variable Pay / Bonus (₹ p.a.)</t>
  </si>
  <si>
    <t>CTC Annual</t>
  </si>
  <si>
    <t>City Type (Metro/Non-Metro)</t>
  </si>
  <si>
    <t>Metro</t>
  </si>
  <si>
    <t>Take-Home Annual</t>
  </si>
  <si>
    <t>Basic % input (min floor 50% of CTC — Code on Wages, 2019)</t>
  </si>
  <si>
    <t>Take-Home / CTC %</t>
  </si>
  <si>
    <t>PF on Statutory Cap (₹15,000/month)? (Yes/No)</t>
  </si>
  <si>
    <t>Basic / CTC %</t>
  </si>
  <si>
    <t>Include Gratuity Provision in CTC? (Yes/No)</t>
  </si>
  <si>
    <t>Yes</t>
  </si>
  <si>
    <t>Retirals / CTC %</t>
  </si>
  <si>
    <t>Sec 10(14) Alw / CTC %</t>
  </si>
  <si>
    <t>Tax-saving Allowance Allocations (₹ p.a.)</t>
  </si>
  <si>
    <t>Children Education Allowance</t>
  </si>
  <si>
    <t>Exempt ≤ ₹72,000 p.a. (₹3,000 × 2 × 12) — Old Regime only</t>
  </si>
  <si>
    <t>Children Hostel Allowance</t>
  </si>
  <si>
    <t>Exempt ≤ ₹2,16,000 p.a. (₹9,000 × 2 × 12) — enter if hostel-going children</t>
  </si>
  <si>
    <t>Meal Coupons / Vouchers</t>
  </si>
  <si>
    <t>Exempt ≤ ₹1,05,600 p.a. (₹200 × 2 × 22 × 12) — Both Old &amp; New Regime</t>
  </si>
  <si>
    <t>Gift Vouchers / Non-cash gifts</t>
  </si>
  <si>
    <t>Exempt ≤ ₹15,000 p.a. (Rule 3(7)(iv)) — Both Old &amp; New Regime</t>
  </si>
  <si>
    <t>Leave Travel Allowance (LTA) — CTC allocation</t>
  </si>
  <si>
    <t>Exempt (Old only) twice per 4-yr block — enter claim on Tax Opt. sheet</t>
  </si>
  <si>
    <t>Employer Contributions / Retirals</t>
  </si>
  <si>
    <t>Employer Medical Insurance / Allowance (₹ p.a.)</t>
  </si>
  <si>
    <t>Group mediclaim premium exempt u/s 17(2); cash allowance is taxable</t>
  </si>
  <si>
    <t>Salary Components — Annual / Monthly</t>
  </si>
  <si>
    <t>Component</t>
  </si>
  <si>
    <t>Annual (₹)</t>
  </si>
  <si>
    <t>Monthly (₹)</t>
  </si>
  <si>
    <t>EARNINGS</t>
  </si>
  <si>
    <t>Basic Salary (floor: 50% of CTC)</t>
  </si>
  <si>
    <t>HRA (50% Metro / 40% Non-Metro of Basic)</t>
  </si>
  <si>
    <t>Variable Pay / Performance Bonus (capped)</t>
  </si>
  <si>
    <t>Children Education Allowance (capped)</t>
  </si>
  <si>
    <t>Children Hostel Allowance (capped)</t>
  </si>
  <si>
    <t>Meal Coupons / Vouchers (capped)</t>
  </si>
  <si>
    <t>Gift Vouchers (capped)</t>
  </si>
  <si>
    <t>LTA (capped)</t>
  </si>
  <si>
    <t>Special Allowance (residual balance)</t>
  </si>
  <si>
    <t>EMPLOYER CONTRIBUTIONS / RETIRALS</t>
  </si>
  <si>
    <t>Employer PF (12% of Basic, capped if applicable)</t>
  </si>
  <si>
    <t>Gratuity Provision (4.81% of Basic)</t>
  </si>
  <si>
    <t>Employer Medical Insurance / Allowance</t>
  </si>
  <si>
    <t>TOTAL CTC (Calculated — should match input)</t>
  </si>
  <si>
    <t>Take-Home Estimate (pre-tax monthly cash)</t>
  </si>
  <si>
    <t>Gross Cash Salary (Basic + HRA + allowances + Special) — excl. Variable</t>
  </si>
  <si>
    <t>Less: Employee PF (12% of Basic, capped if applicable)</t>
  </si>
  <si>
    <t>Less: Professional Tax (₹2,400 p.a. typical)</t>
  </si>
  <si>
    <t>Approx Take-Home (before income tax)</t>
  </si>
  <si>
    <t>CalcGuru  |  Prepared by CA Tirumalesh Malla  |  calcguru.in    —    For indicative estimation only. Verify before filing or transacting.</t>
  </si>
  <si>
    <t>Salary Structure Planner</t>
  </si>
  <si>
    <t>FY 2026-27 (AY 2027-28) • Amended limits per Income-tax Rules, 2026 • Old vs New Regime</t>
  </si>
  <si>
    <t>About this utility</t>
  </si>
  <si>
    <t>Builds a compliant, tax-efficient salary structure from CTC for FY 2026-27 (AY 2027-28) using AMENDED limits notified under the Income-tax Rules, 2026 (eff. 1 April 2026) AND the statutory wage floor under the Code on Wages, 2019. Basic Salary is locked at a minimum of 50% of CTC (wage floor per Sec 2(y) read with the 50% proviso) — if your Basic % input gives a lower figure, the planner auto-raises it to the floor. Tax-saving allowances (CEA, CHA, Meal, Gift, LTA) are then auto-capped via a waterfall against the available CTC headroom — you can enter any target amount, but actual allocation will not exceed what the CTC budget permits after Basic, HRA, EPF, Gratuity, Medical and Variable are parked. Any residual becomes Special Allowance. Meal &amp; Gift vouchers are exempt under BOTH Old &amp; New Regime; CEA, CHA, HRA &amp; LTA remain Old-regime only.</t>
  </si>
  <si>
    <t>Standard Convention used</t>
  </si>
  <si>
    <t>•  Basic Salary FLOOR = 50% of CTC (Code on Wages, 2019, Sec 2(y) proviso) — cannot be reduced below this.</t>
  </si>
  <si>
    <t>•  If user-entered Basic % gives Basic &lt; 50% of CTC, the formula auto-overrides to the 50% floor.</t>
  </si>
  <si>
    <t>•  HRA = 50% of Basic (Metro) / 40% of Basic (Non-Metro); purely salary-structural.</t>
  </si>
  <si>
    <t>•  Metro from 1 Apr 2026 = Delhi, Mumbai, Chennai, Kolkata, Bengaluru, Pune, Hyderabad, Ahmedabad (8 cities).</t>
  </si>
  <si>
    <t>•  Employer PF = 12% of Basic; cap at ₹1,800/month (= ₹21,600 p.a.) if 'Statutory wage cap' = Yes.</t>
  </si>
  <si>
    <t>•  Gratuity provision = Basic × 4.81% (15/26 × 1/12 × 12 months convention), included if selected.</t>
  </si>
  <si>
    <t>•  Employer Medical Insurance / Allowance defaulted to ₹1,500 p.m. — adjust per company policy.</t>
  </si>
  <si>
    <t>•  Tax-saving allowances WATERFALL-CAPPED to CTC headroom after Basic, HRA, retirals, Medical &amp; Variable.</t>
  </si>
  <si>
    <t>Tax-saving allowances built into this planner — AMENDED per IT Rules 2026</t>
  </si>
  <si>
    <t>Children Education Allowance — Sec 10(14) r.w. Rule 2BB (Old Regime only)</t>
  </si>
  <si>
    <t>Exempt ₹3,000 per child per month, max 2 children = ₹72,000 p.a. (Revised from ₹100/child under Rule 280 of IT Rules 2026, w.e.f. 1 April 2026.) Must be listed as separate line item in salary structure — if clubbed under Special Allowance, stays fully taxable. If both parents are salaried, only one may claim per child.</t>
  </si>
  <si>
    <t>Children Hostel Allowance — Sec 10(14) r.w. Rule 2BB (Old Regime only)</t>
  </si>
  <si>
    <t>Exempt ₹9,000 per child per month, max 2 children = ₹2,16,000 p.a. (Revised from ₹300/child under Rule 280 of IT Rules 2026, w.e.f. 1 April 2026.) Same conditions as CEA — separate line item &amp; one-parent rule.</t>
  </si>
  <si>
    <t>Meal Coupons / Vouchers — Rule 3(7)(iii) (Old AND New Regime)</t>
  </si>
  <si>
    <t>Exempt ₹200 per meal × 2 meals × 22 working days × 12 months = ₹1,05,600 p.a. (Revised from ₹50/meal w.e.f. 1 April 2026.) The earlier New-regime exclusion has been REMOVED — now available under both regimes. Vouchers must be non-transferable, usable only at specified food outlets during working hours, for food and non-alcoholic drinks only.</t>
  </si>
  <si>
    <t>Gift Vouchers / Non-cash gifts — Rule 3(7)(iv) (Old AND New Regime)</t>
  </si>
  <si>
    <t>Exempt up to ₹15,000 p.a. per employee (raised from ₹5,000 w.e.f. 1 April 2026). Cash gifts are fully taxable. Amount above ₹15,000 is a taxable perquisite at slab rates.</t>
  </si>
  <si>
    <t>Leave Travel Allowance — Sec 10(5) (Old Regime only)</t>
  </si>
  <si>
    <t>Exempt twice in a block of 4 calendar years for domestic travel by shortest route — economy airfare / 1st-class rail / deluxe bus. Enter your claim amount on Tax Optimisation sheet; capped at LTA CTC allocation.</t>
  </si>
  <si>
    <t>Employer Medical Insurance — Sec 17(2)(viii) (Both Regimes)</t>
  </si>
  <si>
    <t>Group mediclaim premium paid by employer for employee + family is exempt in both regimes. A direct cash medical allowance is fully taxable from FY 2018-19 onwards — structure as employer-paid insurance premium to retain exemption.</t>
  </si>
  <si>
    <t>Disclaimer</t>
  </si>
  <si>
    <t>INDICATIVE CALCULATOR ONLY — based on the Income-tax Rules, 2026 notified by CBDT under the Income-tax Act, 2025, effective 1 April 2026. Actual CTC structuring depends on your employer's payroll policy, component choices (fixed vs flexible benefits plan), local statutory Professional Tax, ESI applicability, and specific perquisite rules. Company-paid items like LTA, meal vouchers and gift cards depend on whether your company offers those buckets; the Sec 10(14) allowance exemptions apply only when each item is a distinct line in the payslip (clubbing under Special Allowance forfeits the exemption). Please confirm exact numbers with your HR/payroll team before signing off on an offer or restructuring. Under the New Regime from 1 April 2026, Sec 10(14) Rule 2BB allowances (CEA, CHA), HRA u/s 10(13A), LTA u/s 10(5) and Chapter VI-A deductions (except 80CCD(2) employer NPS) remain NOT allowed — however Meal Vouchers and Gift Vouchers under Rule 3(7) ARE now available under the New Regime as well, along with the ₹75,000 Standard Deduction.</t>
  </si>
  <si>
    <t>Tax Comparison — Old vs New Regime (FY 2026-27)</t>
  </si>
  <si>
    <t>Auto-pulls Gross Salary, Allowances &amp; PT from CTC Breakup</t>
  </si>
  <si>
    <t>Income &amp; Allowance Allocations (pulled)</t>
  </si>
  <si>
    <t>Gross Cash Salary (from CTC Breakup)</t>
  </si>
  <si>
    <t>Add: Variable Pay / Bonus (capped to CTC budget)</t>
  </si>
  <si>
    <t>Total Salary Income (Gross)</t>
  </si>
  <si>
    <t>HRA Exemption claimed (from HRA sheet) — Old only</t>
  </si>
  <si>
    <t>LTA claim this year (capped at LTA CTC) — Old only</t>
  </si>
  <si>
    <t>Children Edn Allowance — capped allocation</t>
  </si>
  <si>
    <t>Children Hostel Allowance — capped allocation</t>
  </si>
  <si>
    <t>Meal Coupons — capped allocation</t>
  </si>
  <si>
    <t>Gift Vouchers — capped allocation</t>
  </si>
  <si>
    <t>LTA — capped allocation</t>
  </si>
  <si>
    <t>Chapter VI-A Deductions (Old Regime only)</t>
  </si>
  <si>
    <t>80C Investments (PF, ELSS, LIC, PPF etc.)</t>
  </si>
  <si>
    <t>80D Mediclaim Premium (self-paid)</t>
  </si>
  <si>
    <t>80CCD(1B) NPS Additional (max ₹50,000)</t>
  </si>
  <si>
    <t>Home Loan Interest u/s 24(b) (max ₹2,00,000)</t>
  </si>
  <si>
    <t>Other Deductions (80E, 80G, 80EEA etc.)</t>
  </si>
  <si>
    <t>Tax Computation — Old vs New</t>
  </si>
  <si>
    <t>Particulars</t>
  </si>
  <si>
    <t>Old Regime</t>
  </si>
  <si>
    <t>New Regime</t>
  </si>
  <si>
    <t>Gross Salary</t>
  </si>
  <si>
    <t>Less: HRA Exemption [Sec 10(13A)] — Old only</t>
  </si>
  <si>
    <t>Less: LTA Exemption [Sec 10(5)] — Old only</t>
  </si>
  <si>
    <t>Less: Children Edn Allowance Exempt [Rule 2BB] — Old only</t>
  </si>
  <si>
    <t>Less: Children Hostel Allowance Exempt [Rule 2BB] — Old only</t>
  </si>
  <si>
    <t>Less: Meal Voucher Exempt [Rule 3(7)(iii)] — Both Regimes</t>
  </si>
  <si>
    <t>Less: Gift Voucher Exempt [Rule 3(7)(iv)] — Both Regimes</t>
  </si>
  <si>
    <t>Less: Standard Deduction [Sec 16(ia)]</t>
  </si>
  <si>
    <t>Less: Professional Tax [Sec 16(iii)] — Old only</t>
  </si>
  <si>
    <t>Net Salary (after exemptions)</t>
  </si>
  <si>
    <t>Less: 80C (cap ₹1,50,000)</t>
  </si>
  <si>
    <t>Less: 80D Mediclaim</t>
  </si>
  <si>
    <t>Less: 80CCD(1B) NPS</t>
  </si>
  <si>
    <t>Less: 24(b) Home Loan Interest</t>
  </si>
  <si>
    <t>Less: Other Deductions</t>
  </si>
  <si>
    <t>Taxable Income</t>
  </si>
  <si>
    <t>Tax on Income (slab)</t>
  </si>
  <si>
    <t>Less: Rebate u/s 87A</t>
  </si>
  <si>
    <t>Tax after Rebate</t>
  </si>
  <si>
    <t>Add: Health &amp; Education Cess @ 4%</t>
  </si>
  <si>
    <t>Total Tax Liability</t>
  </si>
  <si>
    <t>Effective Tax Rate (on Gross)</t>
  </si>
  <si>
    <t>Recommendation</t>
  </si>
  <si>
    <t>Note: Limits applied per Income-tax Rules, 2026 (notified under Income-tax Act, 2025), effective 1 April 2026. Under the New Regime (default u/s 115BAC), Sec 10(14) Rule 2BB allowances (CEA, CHA), HRA u/s 10(13A), LTA u/s 10(5), and most Chapter VI-A deductions (other than 80CCD(2) employer NPS) are NOT available. HOWEVER — Meal Vouchers under Rule 3(7)(iii) (₹1,05,600) and Gift Vouchers under Rule 3(7)(iv) (₹15,000) are now exempt under BOTH Regimes w.e.f. 1 April 2026, alongside ₹75,000 Standard Deduction and enhanced 87A rebate (up to TI of ₹12L = ₹60,000).</t>
  </si>
  <si>
    <t>HRA Exemption Calculator (Sec 10(13A))</t>
  </si>
  <si>
    <t>Lower of three is exempt — Old Regime only</t>
  </si>
  <si>
    <t>Inputs</t>
  </si>
  <si>
    <t>Basic Salary received p.a. (₹)</t>
  </si>
  <si>
    <t>DA forming part of retirement (₹ p.a.)</t>
  </si>
  <si>
    <t>HRA received p.a. (₹)</t>
  </si>
  <si>
    <t>Annual Rent Paid (₹)</t>
  </si>
  <si>
    <t>City Type (Metro / Non-Metro)</t>
  </si>
  <si>
    <t>Computation — Lower of 3 is Exempt</t>
  </si>
  <si>
    <t>(a) Actual HRA received</t>
  </si>
  <si>
    <t>(b) Rent − 10% of Salary</t>
  </si>
  <si>
    <t>(c) 50%/40% of Salary (Metro/Non-Metro)</t>
  </si>
  <si>
    <t>Exempt HRA (lower of a, b, c)</t>
  </si>
  <si>
    <t>Taxable HRA</t>
  </si>
  <si>
    <t>Notes &amp; Compliance</t>
  </si>
  <si>
    <t>1. Salary for HRA = Basic + DA forming part of retirement benefits + Commission as % of turnover.</t>
  </si>
  <si>
    <t>2. Metro Cities (50% cap) w.e.f. 1 April 2026 = 8 cities: Delhi, Mumbai, Chennai, Kolkata, Bengaluru, Pune, Hyderabad, Ahmedabad.</t>
  </si>
  <si>
    <t>3. All other cities = Non-Metro (40% cap). The 8-city rule applies only from FY 2026-27 onwards.</t>
  </si>
  <si>
    <t>4. Rent receipts mandatory if rent exceeds ₹3,000 per month.</t>
  </si>
  <si>
    <t>5. PAN of landlord required if annual rent exceeds ₹1,00,000.</t>
  </si>
  <si>
    <t>6. Disclosure of landlord-tenant relationship is mandatory under IT Rules 2026.</t>
  </si>
  <si>
    <t>7. Available only under Old Regime; under New Regime, no HRA exemption.</t>
  </si>
  <si>
    <t>8. Cannot claim if you live in your own house.</t>
  </si>
  <si>
    <t>9. Can be claimed along with home loan interest if the houses are in different cities.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</si>
</sst>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0"/>
    <numFmt numFmtId="165" formatCode="0.0\%"/>
    <numFmt numFmtId="166" formatCode="0.0%"/>
  </numFmts>
  <fonts count="19" x14ac:knownFonts="1">
    <font>
      <sz val="11"/>
      <color theme="1"/>
      <name val="Calibri"/>
      <family val="2"/>
      <charset val="1"/>
    </font>
    <font>
      <b/>
      <sz val="14"/>
      <color rgb="FFFFFFFF"/>
      <name val="Calibri"/>
      <charset val="1"/>
    </font>
    <font>
      <b/>
      <sz val="16"/>
      <color rgb="FF1E3A8A"/>
      <name val="Calibri"/>
      <charset val="1"/>
    </font>
    <font>
      <i/>
      <sz val="10"/>
      <color rgb="FF64748B"/>
      <name val="Calibri"/>
      <charset val="1"/>
    </font>
    <font>
      <i/>
      <sz val="10"/>
      <color rgb="FFF97316"/>
      <name val="Calibri"/>
      <charset val="1"/>
    </font>
    <font>
      <b/>
      <sz val="13"/>
      <color rgb="FF1E3A8A"/>
      <name val="Calibri"/>
      <charset val="1"/>
    </font>
    <font>
      <sz val="11"/>
      <name val="Calibri"/>
      <charset val="1"/>
    </font>
    <font>
      <b/>
      <sz val="11"/>
      <color rgb="FFF97316"/>
      <name val="Calibri"/>
      <charset val="1"/>
    </font>
    <font>
      <sz val="10"/>
      <name val="Calibri"/>
      <charset val="1"/>
    </font>
    <font>
      <b/>
      <sz val="12"/>
      <color rgb="FFFFFFFF"/>
      <name val="Calibri"/>
      <charset val="1"/>
    </font>
    <font>
      <i/>
      <sz val="9"/>
      <color rgb="FF64748B"/>
      <name val="Calibri"/>
      <charset val="1"/>
    </font>
    <font>
      <b/>
      <sz val="11"/>
      <color rgb="FF000000"/>
      <name val="Calibri"/>
      <charset val="1"/>
    </font>
    <font>
      <b/>
      <sz val="11"/>
      <color rgb="FF0000FF"/>
      <name val="Calibri"/>
      <charset val="1"/>
    </font>
    <font>
      <b/>
      <sz val="12"/>
      <color rgb="FF1E3A8A"/>
      <name val="Calibri"/>
      <charset val="1"/>
    </font>
    <font>
      <sz val="11"/>
      <color rgb="FF000000"/>
      <name val="Calibri"/>
      <charset val="1"/>
    </font>
    <font>
      <b/>
      <sz val="11"/>
      <color rgb="FFFFFFFF"/>
      <name val="Calibri"/>
      <charset val="1"/>
    </font>
    <font>
      <b/>
      <sz val="11"/>
      <color rgb="FF1E3A8A"/>
      <name val="Calibri"/>
      <charset val="1"/>
    </font>
    <font>
      <b/>
      <sz val="13"/>
      <color rgb="FFFFFFFF"/>
      <name val="Calibri"/>
      <charset val="1"/>
    </font>
    <font>
      <sz val="10"/>
      <color rgb="FF64748B"/>
      <name val="Calibri"/>
      <charset val="1"/>
    </font>
  </fonts>
  <fills count="10">
    <fill>
      <patternFill patternType="none"/>
    </fill>
    <fill>
      <patternFill patternType="gray125"/>
    </fill>
    <fill>
      <patternFill patternType="solid">
        <fgColor rgb="FF1E3A8A"/>
        <bgColor rgb="FF003366"/>
      </patternFill>
    </fill>
    <fill>
      <patternFill patternType="solid">
        <fgColor rgb="FFE0E7FF"/>
        <bgColor rgb="FFE2E8F0"/>
      </patternFill>
    </fill>
    <fill>
      <patternFill patternType="solid">
        <fgColor rgb="FFF97316"/>
        <bgColor rgb="FFFF9900"/>
      </patternFill>
    </fill>
    <fill>
      <patternFill patternType="solid">
        <fgColor rgb="FFE2E8F0"/>
        <bgColor rgb="FFE0E7FF"/>
      </patternFill>
    </fill>
    <fill>
      <patternFill patternType="solid">
        <fgColor rgb="FFFFF4C2"/>
        <bgColor rgb="FFFFE4C4"/>
      </patternFill>
    </fill>
    <fill>
      <patternFill patternType="solid">
        <fgColor rgb="FFDCFCE7"/>
        <bgColor rgb="FFE2E8F0"/>
      </patternFill>
    </fill>
    <fill>
      <patternFill patternType="solid">
        <fgColor rgb="FFF8FAFC"/>
        <bgColor rgb="FFFFFFFF"/>
      </patternFill>
    </fill>
    <fill>
      <patternFill patternType="solid">
        <fgColor rgb="FFFFE4C4"/>
        <bgColor rgb="FFFFF4C2"/>
      </patternFill>
    </fill>
  </fills>
  <borders count="4">
    <border>
      <left/>
      <right/>
      <top/>
      <bottom/>
      <diagonal/>
    </border>
    <border>
      <left style="thin">
        <color rgb="FFE2E8F0"/>
      </left>
      <right style="thin">
        <color rgb="FFE2E8F0"/>
      </right>
      <top style="thin">
        <color rgb="FFE2E8F0"/>
      </top>
      <bottom style="thin">
        <color rgb="FFE2E8F0"/>
      </bottom>
      <diagonal/>
    </border>
    <border>
      <left style="thin">
        <color rgb="FFE2E8F0"/>
      </left>
      <right/>
      <top style="thin">
        <color rgb="FFE2E8F0"/>
      </top>
      <bottom style="thin">
        <color rgb="FFE2E8F0"/>
      </bottom>
      <diagonal/>
    </border>
    <border>
      <left/>
      <right/>
      <top style="thin">
        <color rgb="FFE2E8F0"/>
      </top>
      <bottom style="thin">
        <color rgb="FFE2E8F0"/>
      </bottom>
      <diagonal/>
    </border>
  </borders>
  <cellStyleXfs count="1">
    <xf numFmtId="0" fontId="0" fillId="0" borderId="0"/>
  </cellStyleXfs>
  <cellXfs count="35">
    <xf numFmtId="0" fontId="0" fillId="0" borderId="0" xfId="0"/>
    <xf numFmtId="0" fontId="11" fillId="0" borderId="1" xfId="0" applyFont="1" applyBorder="1" applyAlignment="1">
      <alignment horizontal="left" vertical="center" indent="1"/>
    </xf>
    <xf numFmtId="164" fontId="12" fillId="6" borderId="1" xfId="0" applyNumberFormat="1" applyFont="1" applyFill="1" applyBorder="1" applyAlignment="1" applyProtection="1">
      <alignment horizontal="right" vertical="center"/>
      <protection locked="0"/>
    </xf>
    <xf numFmtId="164" fontId="13" fillId="7" borderId="1" xfId="0" applyNumberFormat="1" applyFont="1" applyFill="1" applyBorder="1" applyAlignment="1">
      <alignment horizontal="right" vertical="center"/>
    </xf>
    <xf numFmtId="0" fontId="12" fillId="6" borderId="1" xfId="0" applyFont="1" applyFill="1" applyBorder="1" applyAlignment="1" applyProtection="1">
      <alignment horizontal="center" vertical="center"/>
      <protection locked="0"/>
    </xf>
    <xf numFmtId="165" fontId="12" fillId="6" borderId="1" xfId="0" applyNumberFormat="1" applyFont="1" applyFill="1" applyBorder="1" applyAlignment="1" applyProtection="1">
      <alignment horizontal="right" vertical="center"/>
      <protection locked="0"/>
    </xf>
    <xf numFmtId="166" fontId="13" fillId="7" borderId="1" xfId="0" applyNumberFormat="1" applyFont="1" applyFill="1" applyBorder="1" applyAlignment="1">
      <alignment horizontal="right" vertical="center"/>
    </xf>
    <xf numFmtId="166" fontId="14" fillId="8" borderId="1" xfId="0" applyNumberFormat="1" applyFont="1" applyFill="1" applyBorder="1" applyAlignment="1">
      <alignment horizontal="right" vertical="center"/>
    </xf>
    <xf numFmtId="0" fontId="10" fillId="0" borderId="0" xfId="0" applyFont="1" applyAlignment="1">
      <alignment horizontal="left" vertical="center" wrapText="1"/>
    </xf>
    <xf numFmtId="0" fontId="15" fillId="2" borderId="1" xfId="0" applyFont="1" applyFill="1" applyBorder="1" applyAlignment="1">
      <alignment horizontal="center" vertical="center" wrapText="1"/>
    </xf>
    <xf numFmtId="164" fontId="14" fillId="8" borderId="1" xfId="0" applyNumberFormat="1" applyFont="1" applyFill="1" applyBorder="1" applyAlignment="1">
      <alignment horizontal="right" vertical="center"/>
    </xf>
    <xf numFmtId="0" fontId="9" fillId="2" borderId="1" xfId="0" applyFont="1" applyFill="1" applyBorder="1" applyAlignment="1">
      <alignment horizontal="left" vertical="center" indent="1"/>
    </xf>
    <xf numFmtId="164" fontId="9" fillId="2" borderId="1" xfId="0" applyNumberFormat="1" applyFont="1" applyFill="1" applyBorder="1" applyAlignment="1">
      <alignment horizontal="right" vertical="center"/>
    </xf>
    <xf numFmtId="10" fontId="14" fillId="8" borderId="1" xfId="0" applyNumberFormat="1" applyFont="1" applyFill="1" applyBorder="1" applyAlignment="1">
      <alignment horizontal="right" vertical="center"/>
    </xf>
    <xf numFmtId="0" fontId="10" fillId="5" borderId="0" xfId="0" applyFont="1" applyFill="1" applyAlignment="1">
      <alignment horizontal="center" vertical="center"/>
    </xf>
    <xf numFmtId="0" fontId="0" fillId="0" borderId="0" xfId="0"/>
    <xf numFmtId="0" fontId="4" fillId="0" borderId="0" xfId="0" applyFont="1" applyAlignment="1">
      <alignment horizontal="center" vertical="center"/>
    </xf>
    <xf numFmtId="0" fontId="3" fillId="0" borderId="0" xfId="0" applyFont="1" applyAlignment="1">
      <alignment horizontal="center" vertical="center"/>
    </xf>
    <xf numFmtId="0" fontId="15" fillId="4" borderId="2" xfId="0" applyFont="1" applyFill="1" applyBorder="1" applyAlignment="1">
      <alignment horizontal="left" vertical="center" indent="1"/>
    </xf>
    <xf numFmtId="0" fontId="0" fillId="0" borderId="3" xfId="0" applyBorder="1"/>
    <xf numFmtId="0" fontId="9" fillId="2" borderId="0" xfId="0" applyFont="1" applyFill="1" applyAlignment="1">
      <alignment horizontal="left" vertical="center" indent="1"/>
    </xf>
    <xf numFmtId="0" fontId="16" fillId="9" borderId="2" xfId="0" applyFont="1" applyFill="1" applyBorder="1" applyAlignment="1" applyProtection="1">
      <alignment horizontal="center" vertical="center" wrapText="1"/>
      <protection locked="0"/>
    </xf>
    <xf numFmtId="0" fontId="2" fillId="3" borderId="0" xfId="0" applyFont="1" applyFill="1" applyAlignment="1">
      <alignment horizontal="center" vertical="center"/>
    </xf>
    <xf numFmtId="0" fontId="1" fillId="2" borderId="0" xfId="0" applyFont="1" applyFill="1" applyAlignment="1">
      <alignment horizontal="center" vertical="center"/>
    </xf>
    <xf numFmtId="0" fontId="13" fillId="3" borderId="0" xfId="0" applyFont="1" applyFill="1" applyAlignment="1">
      <alignment horizontal="left" vertical="center" wrapText="1"/>
    </xf>
    <xf numFmtId="0" fontId="6" fillId="0" borderId="0" xfId="0" applyFont="1" applyAlignment="1">
      <alignment horizontal="left" vertical="center" wrapText="1"/>
    </xf>
    <xf numFmtId="0" fontId="5" fillId="3" borderId="0" xfId="0" applyFont="1" applyFill="1" applyAlignment="1">
      <alignment horizontal="left" vertical="center" wrapText="1"/>
    </xf>
    <xf numFmtId="0" fontId="3" fillId="0" borderId="0" xfId="0" applyFont="1" applyAlignment="1">
      <alignment horizontal="left" vertical="top" wrapText="1"/>
    </xf>
    <xf numFmtId="0" fontId="7" fillId="0" borderId="0" xfId="0" applyFont="1" applyAlignment="1">
      <alignment horizontal="left" vertical="center" wrapText="1"/>
    </xf>
    <xf numFmtId="0" fontId="9" fillId="4" borderId="0" xfId="0" applyFont="1" applyFill="1" applyAlignment="1">
      <alignment horizontal="left" vertical="center" indent="1"/>
    </xf>
    <xf numFmtId="0" fontId="8" fillId="0" borderId="0" xfId="0" applyFont="1" applyAlignment="1">
      <alignment horizontal="left" vertical="top" wrapText="1"/>
    </xf>
    <xf numFmtId="0" fontId="6" fillId="0" borderId="0" xfId="0" applyFont="1" applyAlignment="1">
      <alignment horizontal="left" vertical="top" wrapText="1"/>
    </xf>
    <xf numFmtId="0" fontId="3" fillId="0" borderId="0" xfId="0" applyFont="1" applyAlignment="1">
      <alignment horizontal="left" vertical="top" wrapText="1" indent="1"/>
    </xf>
    <xf numFmtId="0" fontId="17" fillId="4" borderId="2" xfId="0" applyFont="1" applyFill="1" applyBorder="1" applyAlignment="1">
      <alignment horizontal="center" vertical="center" wrapText="1"/>
    </xf>
    <xf numFmtId="0" fontId="18" fillId="0" borderId="0" xfId="0" applyFont="1" applyAlignment="1">
      <alignment horizontal="left" vertical="center" wrapText="1" indent="1"/>
    </xf>
  </cellXfs>
  <cellStyles count="1">
    <cellStyle name="Normal" xfId="0" builtinId="0"/>
  </cellStyles>
  <dxfs count="0"/>
  <tableStyles count="0" defaultTableStyle="TableStyleMedium2" defaultPivotStyle="PivotStyleLight16"/>
  <colors>
    <indexedColors>
      <rgbColor rgb="FF000000"/>
      <rgbColor rgb="FFFFFFFF"/>
      <rgbColor rgb="FFFF0000"/>
      <rgbColor rgb="FF00FF00"/>
      <rgbColor rgb="FF0000FF"/>
      <rgbColor rgb="FFFFFF00"/>
      <rgbColor rgb="FFFF00FF"/>
      <rgbColor rgb="FF00FFFF"/>
      <rgbColor rgb="FF800000"/>
      <rgbColor rgb="FF008000"/>
      <rgbColor rgb="FF000080"/>
      <rgbColor rgb="FF808000"/>
      <rgbColor rgb="FF800080"/>
      <rgbColor rgb="FF008080"/>
      <rgbColor rgb="FFC0C0C0"/>
      <rgbColor rgb="FF808080"/>
      <rgbColor rgb="FF9999FF"/>
      <rgbColor rgb="FF993366"/>
      <rgbColor rgb="FFFFF4C2"/>
      <rgbColor rgb="FFDCFCE7"/>
      <rgbColor rgb="FF660066"/>
      <rgbColor rgb="FFFF8080"/>
      <rgbColor rgb="FF0066CC"/>
      <rgbColor rgb="FFCCCCFF"/>
      <rgbColor rgb="FF000080"/>
      <rgbColor rgb="FFFF00FF"/>
      <rgbColor rgb="FFFFFF00"/>
      <rgbColor rgb="FF00FFFF"/>
      <rgbColor rgb="FF800080"/>
      <rgbColor rgb="FF800000"/>
      <rgbColor rgb="FF008080"/>
      <rgbColor rgb="FF0000FF"/>
      <rgbColor rgb="FF00CCFF"/>
      <rgbColor rgb="FFE0E7FF"/>
      <rgbColor rgb="FFE2E8F0"/>
      <rgbColor rgb="FFF8FAFC"/>
      <rgbColor rgb="FF99CCFF"/>
      <rgbColor rgb="FFFF99CC"/>
      <rgbColor rgb="FFCC99FF"/>
      <rgbColor rgb="FFFFE4C4"/>
      <rgbColor rgb="FF3366FF"/>
      <rgbColor rgb="FF33CCCC"/>
      <rgbColor rgb="FF99CC00"/>
      <rgbColor rgb="FFFFCC00"/>
      <rgbColor rgb="FFFF9900"/>
      <rgbColor rgb="FFF97316"/>
      <rgbColor rgb="FF64748B"/>
      <rgbColor rgb="FF969696"/>
      <rgbColor rgb="FF003366"/>
      <rgbColor rgb="FF339966"/>
      <rgbColor rgb="FF003300"/>
      <rgbColor rgb="FF333300"/>
      <rgbColor rgb="FF993300"/>
      <rgbColor rgb="FF993366"/>
      <rgbColor rgb="FF1E3A8A"/>
      <rgbColor rgb="FF333333"/>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rgbClr val="000000"/>
      </a:dk1>
      <a:lt1>
        <a:srgbClr val="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majorFont>
      <a:minorFont>
        <a:latin typeface="Calibri"/>
        <a:ea typeface=""/>
        <a:cs typeface=""/>
      </a:minorFont>
    </a:fontScheme>
    <a:fmtScheme>
      <a:fillStyleLst>
        <a:solidFill>
          <a:schemeClr val="phClr"/>
        </a:solidFill>
        <a:gradFill>
          <a:gsLst>
            <a:gs pos="0">
              <a:schemeClr val="phClr">
                <a:tint val="50000"/>
              </a:schemeClr>
            </a:gs>
            <a:gs pos="35000">
              <a:schemeClr val="phClr">
                <a:tint val="37000"/>
              </a:schemeClr>
            </a:gs>
            <a:gs pos="100000">
              <a:schemeClr val="phClr">
                <a:tint val="15000"/>
              </a:schemeClr>
            </a:gs>
          </a:gsLst>
          <a:lin ang="16200000" scaled="1"/>
          <a:tileRect/>
        </a:gradFill>
        <a:gradFill>
          <a:gsLst>
            <a:gs pos="0">
              <a:schemeClr val="phClr">
                <a:shade val="51000"/>
              </a:schemeClr>
            </a:gs>
            <a:gs pos="80000">
              <a:schemeClr val="phClr">
                <a:shade val="93000"/>
              </a:schemeClr>
            </a:gs>
            <a:gs pos="100000">
              <a:schemeClr val="phClr">
                <a:shade val="94000"/>
              </a:schemeClr>
            </a:gs>
          </a:gsLst>
          <a:lin ang="16200000" scaled="0"/>
          <a:tileRect/>
        </a:gradFill>
      </a:fillStyleLst>
      <a:lnStyleLst>
        <a:ln w="9525" cap="flat" cmpd="sng" algn="ctr">
          <a:prstDash val="solid"/>
        </a:ln>
        <a:ln w="25400" cap="flat" cmpd="sng" algn="ctr">
          <a:prstDash val="solid"/>
        </a:ln>
        <a:ln w="38100" cap="flat" cmpd="sng" algn="ctr">
          <a:prstDash val="solid"/>
        </a:ln>
      </a:lnStyleLst>
      <a:effectStyleLst>
        <a:effectStyle>
          <a:effectLst/>
        </a:effectStyle>
        <a:effectStyle>
          <a:effectLst/>
        </a:effectStyle>
        <a:effectStyle>
          <a:effectLst/>
        </a:effectStyle>
      </a:effectStyleLst>
      <a:bgFillStyleLst>
        <a:solidFill>
          <a:schemeClr val="phClr"/>
        </a:solidFill>
        <a:gradFill>
          <a:gsLst>
            <a:gs pos="0">
              <a:schemeClr val="phClr">
                <a:tint val="40000"/>
              </a:schemeClr>
            </a:gs>
            <a:gs pos="40000">
              <a:schemeClr val="phClr">
                <a:tint val="45000"/>
                <a:shade val="99000"/>
              </a:schemeClr>
            </a:gs>
            <a:gs pos="100000">
              <a:schemeClr val="phClr">
                <a:shade val="20000"/>
              </a:schemeClr>
            </a:gs>
          </a:gsLst>
          <a:path path="circle">
            <a:fillToRect l="50000" t="-80000" r="50000" b="180000"/>
          </a:path>
          <a:tileRect/>
        </a:gradFill>
        <a:gradFill>
          <a:gsLst>
            <a:gs pos="0">
              <a:schemeClr val="phClr">
                <a:tint val="80000"/>
              </a:schemeClr>
            </a:gs>
            <a:gs pos="100000">
              <a:schemeClr val="phClr">
                <a:shade val="30000"/>
              </a:schemeClr>
            </a:gs>
          </a:gsLst>
          <a:path path="circle">
            <a:fillToRect l="50000" t="50000" r="50000" b="50000"/>
          </a:path>
          <a:tileRect/>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H64"/>
  <sheetViews>
    <sheetView zoomScaleNormal="100" workbookViewId="0">
      <selection sqref="A1:H1"/>
    </sheetView>
  </sheetViews>
  <sheetFormatPr defaultColWidth="8.73046875" defaultRowHeight="14.25" x14ac:dyDescent="0.45"/>
  <cols>
    <col min="1" max="1" width="5" customWidth="1"/>
    <col min="2" max="6" width="28" customWidth="1"/>
    <col min="7" max="7" width="5" customWidth="1"/>
  </cols>
  <sheetData>
    <row r="1" spans="1:8" ht="25.5" customHeight="1" x14ac:dyDescent="0.45">
      <c r="A1" s="23" t="s">
        <v>0</v>
      </c>
      <c r="B1" s="15"/>
      <c r="C1" s="15"/>
      <c r="D1" s="15"/>
      <c r="E1" s="15"/>
      <c r="F1" s="15"/>
      <c r="G1" s="15"/>
      <c r="H1" s="15"/>
    </row>
    <row r="2" spans="1:8" ht="24" customHeight="1" x14ac:dyDescent="0.45">
      <c r="A2" s="22" t="s">
        <v>59</v>
      </c>
      <c r="B2" s="15"/>
      <c r="C2" s="15"/>
      <c r="D2" s="15"/>
      <c r="E2" s="15"/>
      <c r="F2" s="15"/>
      <c r="G2" s="15"/>
      <c r="H2" s="15"/>
    </row>
    <row r="3" spans="1:8" ht="18" customHeight="1" x14ac:dyDescent="0.45">
      <c r="A3" s="17" t="s">
        <v>2</v>
      </c>
      <c r="B3" s="15"/>
      <c r="C3" s="15"/>
      <c r="D3" s="15"/>
      <c r="E3" s="15"/>
      <c r="F3" s="15"/>
      <c r="G3" s="15"/>
      <c r="H3" s="15"/>
    </row>
    <row r="4" spans="1:8" ht="15.75" customHeight="1" x14ac:dyDescent="0.45">
      <c r="A4" s="16" t="s">
        <v>60</v>
      </c>
      <c r="B4" s="15"/>
      <c r="C4" s="15"/>
      <c r="D4" s="15"/>
      <c r="E4" s="15"/>
      <c r="F4" s="15"/>
      <c r="G4" s="15"/>
      <c r="H4" s="15"/>
    </row>
    <row r="6" spans="1:8" ht="16.149999999999999" customHeight="1" x14ac:dyDescent="0.45">
      <c r="B6" s="26" t="s">
        <v>61</v>
      </c>
      <c r="C6" s="15"/>
      <c r="D6" s="15"/>
      <c r="E6" s="15"/>
      <c r="F6" s="15"/>
    </row>
    <row r="7" spans="1:8" ht="15" customHeight="1" x14ac:dyDescent="0.45">
      <c r="B7" s="31" t="s">
        <v>62</v>
      </c>
      <c r="C7" s="15"/>
      <c r="D7" s="15"/>
      <c r="E7" s="15"/>
      <c r="F7" s="15"/>
    </row>
    <row r="8" spans="1:8" x14ac:dyDescent="0.45">
      <c r="B8" s="15"/>
      <c r="C8" s="15"/>
      <c r="D8" s="15"/>
      <c r="E8" s="15"/>
      <c r="F8" s="15"/>
    </row>
    <row r="9" spans="1:8" x14ac:dyDescent="0.45">
      <c r="B9" s="15"/>
      <c r="C9" s="15"/>
      <c r="D9" s="15"/>
      <c r="E9" s="15"/>
      <c r="F9" s="15"/>
    </row>
    <row r="10" spans="1:8" x14ac:dyDescent="0.45">
      <c r="B10" s="15"/>
      <c r="C10" s="15"/>
      <c r="D10" s="15"/>
      <c r="E10" s="15"/>
      <c r="F10" s="15"/>
    </row>
    <row r="11" spans="1:8" x14ac:dyDescent="0.45">
      <c r="B11" s="15"/>
      <c r="C11" s="15"/>
      <c r="D11" s="15"/>
      <c r="E11" s="15"/>
      <c r="F11" s="15"/>
    </row>
    <row r="12" spans="1:8" x14ac:dyDescent="0.45">
      <c r="B12" s="15"/>
      <c r="C12" s="15"/>
      <c r="D12" s="15"/>
      <c r="E12" s="15"/>
      <c r="F12" s="15"/>
    </row>
    <row r="13" spans="1:8" ht="16.149999999999999" customHeight="1" x14ac:dyDescent="0.45">
      <c r="B13" s="26" t="s">
        <v>63</v>
      </c>
      <c r="C13" s="15"/>
      <c r="D13" s="15"/>
      <c r="E13" s="15"/>
      <c r="F13" s="15"/>
    </row>
    <row r="14" spans="1:8" ht="15" customHeight="1" x14ac:dyDescent="0.45">
      <c r="B14" s="25" t="s">
        <v>64</v>
      </c>
      <c r="C14" s="15"/>
      <c r="D14" s="15"/>
      <c r="E14" s="15"/>
      <c r="F14" s="15"/>
    </row>
    <row r="15" spans="1:8" ht="15" customHeight="1" x14ac:dyDescent="0.45">
      <c r="B15" s="25" t="s">
        <v>65</v>
      </c>
      <c r="C15" s="15"/>
      <c r="D15" s="15"/>
      <c r="E15" s="15"/>
      <c r="F15" s="15"/>
    </row>
    <row r="16" spans="1:8" ht="15" customHeight="1" x14ac:dyDescent="0.45">
      <c r="B16" s="25" t="s">
        <v>66</v>
      </c>
      <c r="C16" s="15"/>
      <c r="D16" s="15"/>
      <c r="E16" s="15"/>
      <c r="F16" s="15"/>
    </row>
    <row r="17" spans="2:6" ht="15" customHeight="1" x14ac:dyDescent="0.45">
      <c r="B17" s="25" t="s">
        <v>67</v>
      </c>
      <c r="C17" s="15"/>
      <c r="D17" s="15"/>
      <c r="E17" s="15"/>
      <c r="F17" s="15"/>
    </row>
    <row r="18" spans="2:6" ht="15" customHeight="1" x14ac:dyDescent="0.45">
      <c r="B18" s="25" t="s">
        <v>68</v>
      </c>
      <c r="C18" s="15"/>
      <c r="D18" s="15"/>
      <c r="E18" s="15"/>
      <c r="F18" s="15"/>
    </row>
    <row r="19" spans="2:6" ht="15" customHeight="1" x14ac:dyDescent="0.45">
      <c r="B19" s="25" t="s">
        <v>69</v>
      </c>
      <c r="C19" s="15"/>
      <c r="D19" s="15"/>
      <c r="E19" s="15"/>
      <c r="F19" s="15"/>
    </row>
    <row r="20" spans="2:6" ht="15" customHeight="1" x14ac:dyDescent="0.45">
      <c r="B20" s="25" t="s">
        <v>70</v>
      </c>
      <c r="C20" s="15"/>
      <c r="D20" s="15"/>
      <c r="E20" s="15"/>
      <c r="F20" s="15"/>
    </row>
    <row r="21" spans="2:6" ht="15" customHeight="1" x14ac:dyDescent="0.45">
      <c r="B21" s="25" t="s">
        <v>71</v>
      </c>
      <c r="C21" s="15"/>
      <c r="D21" s="15"/>
      <c r="E21" s="15"/>
      <c r="F21" s="15"/>
    </row>
    <row r="22" spans="2:6" ht="16.149999999999999" customHeight="1" x14ac:dyDescent="0.45">
      <c r="B22" s="26" t="s">
        <v>72</v>
      </c>
      <c r="C22" s="15"/>
      <c r="D22" s="15"/>
      <c r="E22" s="15"/>
      <c r="F22" s="15"/>
    </row>
    <row r="23" spans="2:6" ht="19.5" customHeight="1" x14ac:dyDescent="0.45">
      <c r="B23" s="28" t="s">
        <v>73</v>
      </c>
      <c r="C23" s="15"/>
      <c r="D23" s="15"/>
      <c r="E23" s="15"/>
      <c r="F23" s="15"/>
    </row>
    <row r="24" spans="2:6" ht="18" customHeight="1" x14ac:dyDescent="0.45">
      <c r="B24" s="30" t="s">
        <v>74</v>
      </c>
      <c r="C24" s="15"/>
      <c r="D24" s="15"/>
      <c r="E24" s="15"/>
      <c r="F24" s="15"/>
    </row>
    <row r="25" spans="2:6" ht="18" customHeight="1" x14ac:dyDescent="0.45">
      <c r="B25" s="15"/>
      <c r="C25" s="15"/>
      <c r="D25" s="15"/>
      <c r="E25" s="15"/>
      <c r="F25" s="15"/>
    </row>
    <row r="26" spans="2:6" ht="18" customHeight="1" x14ac:dyDescent="0.45">
      <c r="B26" s="15"/>
      <c r="C26" s="15"/>
      <c r="D26" s="15"/>
      <c r="E26" s="15"/>
      <c r="F26" s="15"/>
    </row>
    <row r="28" spans="2:6" ht="19.5" customHeight="1" x14ac:dyDescent="0.45">
      <c r="B28" s="28" t="s">
        <v>75</v>
      </c>
      <c r="C28" s="15"/>
      <c r="D28" s="15"/>
      <c r="E28" s="15"/>
      <c r="F28" s="15"/>
    </row>
    <row r="29" spans="2:6" ht="18" customHeight="1" x14ac:dyDescent="0.45">
      <c r="B29" s="30" t="s">
        <v>76</v>
      </c>
      <c r="C29" s="15"/>
      <c r="D29" s="15"/>
      <c r="E29" s="15"/>
      <c r="F29" s="15"/>
    </row>
    <row r="30" spans="2:6" ht="18" customHeight="1" x14ac:dyDescent="0.45">
      <c r="B30" s="15"/>
      <c r="C30" s="15"/>
      <c r="D30" s="15"/>
      <c r="E30" s="15"/>
      <c r="F30" s="15"/>
    </row>
    <row r="31" spans="2:6" ht="18" customHeight="1" x14ac:dyDescent="0.45">
      <c r="B31" s="15"/>
      <c r="C31" s="15"/>
      <c r="D31" s="15"/>
      <c r="E31" s="15"/>
      <c r="F31" s="15"/>
    </row>
    <row r="33" spans="2:6" ht="19.5" customHeight="1" x14ac:dyDescent="0.45">
      <c r="B33" s="28" t="s">
        <v>77</v>
      </c>
      <c r="C33" s="15"/>
      <c r="D33" s="15"/>
      <c r="E33" s="15"/>
      <c r="F33" s="15"/>
    </row>
    <row r="34" spans="2:6" ht="18" customHeight="1" x14ac:dyDescent="0.45">
      <c r="B34" s="30" t="s">
        <v>78</v>
      </c>
      <c r="C34" s="15"/>
      <c r="D34" s="15"/>
      <c r="E34" s="15"/>
      <c r="F34" s="15"/>
    </row>
    <row r="35" spans="2:6" ht="18" customHeight="1" x14ac:dyDescent="0.45">
      <c r="B35" s="15"/>
      <c r="C35" s="15"/>
      <c r="D35" s="15"/>
      <c r="E35" s="15"/>
      <c r="F35" s="15"/>
    </row>
    <row r="36" spans="2:6" ht="18" customHeight="1" x14ac:dyDescent="0.45">
      <c r="B36" s="15"/>
      <c r="C36" s="15"/>
      <c r="D36" s="15"/>
      <c r="E36" s="15"/>
      <c r="F36" s="15"/>
    </row>
    <row r="38" spans="2:6" ht="19.5" customHeight="1" x14ac:dyDescent="0.45">
      <c r="B38" s="28" t="s">
        <v>79</v>
      </c>
      <c r="C38" s="15"/>
      <c r="D38" s="15"/>
      <c r="E38" s="15"/>
      <c r="F38" s="15"/>
    </row>
    <row r="39" spans="2:6" ht="18" customHeight="1" x14ac:dyDescent="0.45">
      <c r="B39" s="30" t="s">
        <v>80</v>
      </c>
      <c r="C39" s="15"/>
      <c r="D39" s="15"/>
      <c r="E39" s="15"/>
      <c r="F39" s="15"/>
    </row>
    <row r="40" spans="2:6" ht="18" customHeight="1" x14ac:dyDescent="0.45">
      <c r="B40" s="15"/>
      <c r="C40" s="15"/>
      <c r="D40" s="15"/>
      <c r="E40" s="15"/>
      <c r="F40" s="15"/>
    </row>
    <row r="41" spans="2:6" ht="18" customHeight="1" x14ac:dyDescent="0.45">
      <c r="B41" s="15"/>
      <c r="C41" s="15"/>
      <c r="D41" s="15"/>
      <c r="E41" s="15"/>
      <c r="F41" s="15"/>
    </row>
    <row r="43" spans="2:6" ht="19.5" customHeight="1" x14ac:dyDescent="0.45">
      <c r="B43" s="28" t="s">
        <v>81</v>
      </c>
      <c r="C43" s="15"/>
      <c r="D43" s="15"/>
      <c r="E43" s="15"/>
      <c r="F43" s="15"/>
    </row>
    <row r="44" spans="2:6" ht="18" customHeight="1" x14ac:dyDescent="0.45">
      <c r="B44" s="30" t="s">
        <v>82</v>
      </c>
      <c r="C44" s="15"/>
      <c r="D44" s="15"/>
      <c r="E44" s="15"/>
      <c r="F44" s="15"/>
    </row>
    <row r="45" spans="2:6" ht="18" customHeight="1" x14ac:dyDescent="0.45">
      <c r="B45" s="15"/>
      <c r="C45" s="15"/>
      <c r="D45" s="15"/>
      <c r="E45" s="15"/>
      <c r="F45" s="15"/>
    </row>
    <row r="46" spans="2:6" ht="18" customHeight="1" x14ac:dyDescent="0.45">
      <c r="B46" s="15"/>
      <c r="C46" s="15"/>
      <c r="D46" s="15"/>
      <c r="E46" s="15"/>
      <c r="F46" s="15"/>
    </row>
    <row r="48" spans="2:6" ht="19.5" customHeight="1" x14ac:dyDescent="0.45">
      <c r="B48" s="28" t="s">
        <v>83</v>
      </c>
      <c r="C48" s="15"/>
      <c r="D48" s="15"/>
      <c r="E48" s="15"/>
      <c r="F48" s="15"/>
    </row>
    <row r="49" spans="1:6" ht="18" customHeight="1" x14ac:dyDescent="0.45">
      <c r="B49" s="30" t="s">
        <v>84</v>
      </c>
      <c r="C49" s="15"/>
      <c r="D49" s="15"/>
      <c r="E49" s="15"/>
      <c r="F49" s="15"/>
    </row>
    <row r="50" spans="1:6" ht="18" customHeight="1" x14ac:dyDescent="0.45">
      <c r="B50" s="15"/>
      <c r="C50" s="15"/>
      <c r="D50" s="15"/>
      <c r="E50" s="15"/>
      <c r="F50" s="15"/>
    </row>
    <row r="51" spans="1:6" ht="18" customHeight="1" x14ac:dyDescent="0.45">
      <c r="B51" s="15"/>
      <c r="C51" s="15"/>
      <c r="D51" s="15"/>
      <c r="E51" s="15"/>
      <c r="F51" s="15"/>
    </row>
    <row r="53" spans="1:6" ht="21.75" customHeight="1" x14ac:dyDescent="0.45">
      <c r="A53" s="29" t="s">
        <v>85</v>
      </c>
      <c r="B53" s="15"/>
      <c r="C53" s="15"/>
      <c r="D53" s="15"/>
      <c r="E53" s="15"/>
      <c r="F53" s="15"/>
    </row>
    <row r="54" spans="1:6" ht="18" customHeight="1" x14ac:dyDescent="0.45">
      <c r="B54" s="27" t="s">
        <v>86</v>
      </c>
      <c r="C54" s="15"/>
      <c r="D54" s="15"/>
      <c r="E54" s="15"/>
      <c r="F54" s="15"/>
    </row>
    <row r="55" spans="1:6" ht="18" customHeight="1" x14ac:dyDescent="0.45">
      <c r="B55" s="15"/>
      <c r="C55" s="15"/>
      <c r="D55" s="15"/>
      <c r="E55" s="15"/>
      <c r="F55" s="15"/>
    </row>
    <row r="56" spans="1:6" ht="18" customHeight="1" x14ac:dyDescent="0.45">
      <c r="B56" s="15"/>
      <c r="C56" s="15"/>
      <c r="D56" s="15"/>
      <c r="E56" s="15"/>
      <c r="F56" s="15"/>
    </row>
    <row r="57" spans="1:6" ht="18" customHeight="1" x14ac:dyDescent="0.45">
      <c r="B57" s="15"/>
      <c r="C57" s="15"/>
      <c r="D57" s="15"/>
      <c r="E57" s="15"/>
      <c r="F57" s="15"/>
    </row>
    <row r="58" spans="1:6" ht="18" customHeight="1" x14ac:dyDescent="0.45">
      <c r="B58" s="15"/>
      <c r="C58" s="15"/>
      <c r="D58" s="15"/>
      <c r="E58" s="15"/>
      <c r="F58" s="15"/>
    </row>
    <row r="59" spans="1:6" ht="18" customHeight="1" x14ac:dyDescent="0.45">
      <c r="B59" s="15"/>
      <c r="C59" s="15"/>
      <c r="D59" s="15"/>
      <c r="E59" s="15"/>
      <c r="F59" s="15"/>
    </row>
    <row r="60" spans="1:6" ht="18" customHeight="1" x14ac:dyDescent="0.45">
      <c r="B60" s="15"/>
      <c r="C60" s="15"/>
      <c r="D60" s="15"/>
      <c r="E60" s="15"/>
      <c r="F60" s="15"/>
    </row>
    <row r="64" spans="1:6" ht="18" customHeight="1" x14ac:dyDescent="0.45">
      <c r="A64" s="14" t="s">
        <v>58</v>
      </c>
      <c r="B64" s="15"/>
      <c r="C64" s="15"/>
      <c r="D64" s="15"/>
      <c r="E64" s="15"/>
      <c r="F64" s="15"/>
    </row>
  </sheetData>
  <sheetProtection password="BBBC" sheet="1" objects="1" scenarios="1"/>
  <mergeCells count="31">
    <mergeCell ref="A64:F64"/>
    <mergeCell ref="B49:F51"/>
    <mergeCell ref="A4:H4"/>
    <mergeCell ref="B7:F12"/>
    <mergeCell ref="B6:F6"/>
    <mergeCell ref="B34:F36"/>
    <mergeCell ref="B20:F20"/>
    <mergeCell ref="B15:F15"/>
    <mergeCell ref="B33:F33"/>
    <mergeCell ref="B24:F26"/>
    <mergeCell ref="B38:F38"/>
    <mergeCell ref="B29:F31"/>
    <mergeCell ref="B28:F28"/>
    <mergeCell ref="A2:H2"/>
    <mergeCell ref="B19:F19"/>
    <mergeCell ref="B16:F16"/>
    <mergeCell ref="B22:F22"/>
    <mergeCell ref="A1:H1"/>
    <mergeCell ref="B54:F60"/>
    <mergeCell ref="B18:F18"/>
    <mergeCell ref="B21:F21"/>
    <mergeCell ref="B43:F43"/>
    <mergeCell ref="B48:F48"/>
    <mergeCell ref="B23:F23"/>
    <mergeCell ref="B14:F14"/>
    <mergeCell ref="A53:F53"/>
    <mergeCell ref="B39:F41"/>
    <mergeCell ref="B17:F17"/>
    <mergeCell ref="B13:F13"/>
    <mergeCell ref="A3:H3"/>
    <mergeCell ref="B44:F46"/>
  </mergeCells>
  <pageMargins left="0.75" right="0.75" top="1" bottom="1" header="0.511811023622047" footer="0.511811023622047"/>
  <pageSetup paperSize="9" orientation="portrait" horizontalDpi="300" verticalDpi="30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H50"/>
  <sheetViews>
    <sheetView zoomScaleNormal="100" workbookViewId="0">
      <selection activeCell="D16" sqref="D16"/>
    </sheetView>
  </sheetViews>
  <sheetFormatPr defaultColWidth="8.73046875" defaultRowHeight="14.25" x14ac:dyDescent="0.45"/>
  <cols>
    <col min="1" max="1" width="4" customWidth="1"/>
    <col min="2" max="2" width="40" customWidth="1"/>
    <col min="3" max="4" width="18" customWidth="1"/>
    <col min="5" max="5" width="4" customWidth="1"/>
    <col min="6" max="6" width="36" customWidth="1"/>
    <col min="7" max="7" width="18" customWidth="1"/>
    <col min="8" max="8" width="4" customWidth="1"/>
  </cols>
  <sheetData>
    <row r="1" spans="1:8" ht="25.5" customHeight="1" x14ac:dyDescent="0.45">
      <c r="A1" s="23" t="s">
        <v>0</v>
      </c>
      <c r="B1" s="15"/>
      <c r="C1" s="15"/>
      <c r="D1" s="15"/>
      <c r="E1" s="15"/>
      <c r="F1" s="15"/>
      <c r="G1" s="15"/>
      <c r="H1" s="15"/>
    </row>
    <row r="2" spans="1:8" ht="24" customHeight="1" x14ac:dyDescent="0.45">
      <c r="A2" s="22" t="s">
        <v>1</v>
      </c>
      <c r="B2" s="15"/>
      <c r="C2" s="15"/>
      <c r="D2" s="15"/>
      <c r="E2" s="15"/>
      <c r="F2" s="15"/>
      <c r="G2" s="15"/>
      <c r="H2" s="15"/>
    </row>
    <row r="3" spans="1:8" ht="18" customHeight="1" x14ac:dyDescent="0.45">
      <c r="A3" s="17" t="s">
        <v>2</v>
      </c>
      <c r="B3" s="15"/>
      <c r="C3" s="15"/>
      <c r="D3" s="15"/>
      <c r="E3" s="15"/>
      <c r="F3" s="15"/>
      <c r="G3" s="15"/>
      <c r="H3" s="15"/>
    </row>
    <row r="4" spans="1:8" ht="15.75" customHeight="1" x14ac:dyDescent="0.45">
      <c r="A4" s="16" t="s">
        <v>3</v>
      </c>
      <c r="B4" s="15"/>
      <c r="C4" s="15"/>
      <c r="D4" s="15"/>
      <c r="E4" s="15"/>
      <c r="F4" s="15"/>
      <c r="G4" s="15"/>
      <c r="H4" s="15"/>
    </row>
    <row r="6" spans="1:8" ht="21.75" customHeight="1" x14ac:dyDescent="0.45">
      <c r="A6" s="20" t="s">
        <v>4</v>
      </c>
      <c r="B6" s="15"/>
      <c r="C6" s="15"/>
      <c r="D6" s="15"/>
      <c r="E6" s="15"/>
      <c r="F6" s="15"/>
      <c r="G6" s="15"/>
      <c r="H6" s="15"/>
    </row>
    <row r="7" spans="1:8" ht="15" customHeight="1" x14ac:dyDescent="0.45">
      <c r="B7" s="1" t="s">
        <v>5</v>
      </c>
      <c r="C7" s="2">
        <v>300000</v>
      </c>
      <c r="F7" s="24" t="s">
        <v>6</v>
      </c>
      <c r="G7" s="15"/>
    </row>
    <row r="8" spans="1:8" ht="15.75" customHeight="1" x14ac:dyDescent="0.45">
      <c r="B8" s="1" t="s">
        <v>7</v>
      </c>
      <c r="C8" s="2">
        <v>75000</v>
      </c>
      <c r="F8" s="1" t="s">
        <v>8</v>
      </c>
      <c r="G8" s="3">
        <f>C40</f>
        <v>300000</v>
      </c>
    </row>
    <row r="9" spans="1:8" ht="15.75" customHeight="1" x14ac:dyDescent="0.45">
      <c r="B9" s="1" t="s">
        <v>9</v>
      </c>
      <c r="C9" s="4" t="s">
        <v>10</v>
      </c>
      <c r="F9" s="1" t="s">
        <v>11</v>
      </c>
      <c r="G9" s="3">
        <f>C47</f>
        <v>201000</v>
      </c>
    </row>
    <row r="10" spans="1:8" ht="15.75" customHeight="1" x14ac:dyDescent="0.45">
      <c r="B10" s="1" t="s">
        <v>12</v>
      </c>
      <c r="C10" s="5">
        <v>50</v>
      </c>
      <c r="F10" s="1" t="s">
        <v>13</v>
      </c>
      <c r="G10" s="6">
        <f>IFERROR(G9/G8,0)</f>
        <v>0.67</v>
      </c>
    </row>
    <row r="11" spans="1:8" x14ac:dyDescent="0.45">
      <c r="B11" s="1" t="s">
        <v>14</v>
      </c>
      <c r="C11" s="4" t="s">
        <v>17</v>
      </c>
      <c r="F11" s="1" t="s">
        <v>15</v>
      </c>
      <c r="G11" s="7">
        <f>IFERROR(C27/C40,0)</f>
        <v>0.5</v>
      </c>
    </row>
    <row r="12" spans="1:8" x14ac:dyDescent="0.45">
      <c r="B12" s="1" t="s">
        <v>16</v>
      </c>
      <c r="C12" s="4" t="s">
        <v>17</v>
      </c>
      <c r="F12" s="1" t="s">
        <v>18</v>
      </c>
      <c r="G12" s="7">
        <f>IFERROR((C37+C38+C39)/C40,0)</f>
        <v>0.15604999999999999</v>
      </c>
    </row>
    <row r="13" spans="1:8" x14ac:dyDescent="0.45">
      <c r="F13" s="1" t="s">
        <v>19</v>
      </c>
      <c r="G13" s="7">
        <f>IFERROR((C30+C31+C32+C33+C34)/C40,0)</f>
        <v>0</v>
      </c>
    </row>
    <row r="14" spans="1:8" ht="21.75" customHeight="1" x14ac:dyDescent="0.45">
      <c r="A14" s="20" t="s">
        <v>20</v>
      </c>
      <c r="B14" s="15"/>
      <c r="C14" s="15"/>
      <c r="D14" s="15"/>
      <c r="E14" s="15"/>
      <c r="F14" s="15"/>
      <c r="G14" s="15"/>
      <c r="H14" s="15"/>
    </row>
    <row r="15" spans="1:8" ht="24" customHeight="1" x14ac:dyDescent="0.45">
      <c r="B15" s="1" t="s">
        <v>21</v>
      </c>
      <c r="C15" s="2">
        <v>72000</v>
      </c>
      <c r="F15" s="8" t="s">
        <v>22</v>
      </c>
    </row>
    <row r="16" spans="1:8" ht="24" customHeight="1" x14ac:dyDescent="0.45">
      <c r="B16" s="1" t="s">
        <v>23</v>
      </c>
      <c r="C16" s="2">
        <v>0</v>
      </c>
      <c r="F16" s="8" t="s">
        <v>24</v>
      </c>
    </row>
    <row r="17" spans="1:8" ht="24" customHeight="1" x14ac:dyDescent="0.45">
      <c r="B17" s="1" t="s">
        <v>25</v>
      </c>
      <c r="C17" s="2">
        <v>105600</v>
      </c>
      <c r="F17" s="8" t="s">
        <v>26</v>
      </c>
    </row>
    <row r="18" spans="1:8" ht="24" customHeight="1" x14ac:dyDescent="0.45">
      <c r="B18" s="1" t="s">
        <v>27</v>
      </c>
      <c r="C18" s="2">
        <v>15000</v>
      </c>
      <c r="F18" s="8" t="s">
        <v>28</v>
      </c>
    </row>
    <row r="19" spans="1:8" ht="24" customHeight="1" x14ac:dyDescent="0.45">
      <c r="B19" s="1" t="s">
        <v>29</v>
      </c>
      <c r="C19" s="2">
        <v>25000</v>
      </c>
      <c r="F19" s="8" t="s">
        <v>30</v>
      </c>
    </row>
    <row r="21" spans="1:8" ht="21.75" customHeight="1" x14ac:dyDescent="0.45">
      <c r="A21" s="20" t="s">
        <v>31</v>
      </c>
      <c r="B21" s="15"/>
      <c r="C21" s="15"/>
      <c r="D21" s="15"/>
      <c r="E21" s="15"/>
      <c r="F21" s="15"/>
      <c r="G21" s="15"/>
      <c r="H21" s="15"/>
    </row>
    <row r="22" spans="1:8" ht="24" customHeight="1" x14ac:dyDescent="0.45">
      <c r="B22" s="1" t="s">
        <v>32</v>
      </c>
      <c r="C22" s="2">
        <v>18000</v>
      </c>
      <c r="F22" s="8" t="s">
        <v>33</v>
      </c>
    </row>
    <row r="24" spans="1:8" ht="21.75" customHeight="1" x14ac:dyDescent="0.45">
      <c r="A24" s="20" t="s">
        <v>34</v>
      </c>
      <c r="B24" s="15"/>
      <c r="C24" s="15"/>
      <c r="D24" s="15"/>
      <c r="E24" s="15"/>
      <c r="F24" s="15"/>
      <c r="G24" s="15"/>
      <c r="H24" s="15"/>
    </row>
    <row r="25" spans="1:8" ht="21.75" customHeight="1" x14ac:dyDescent="0.45">
      <c r="B25" s="9" t="s">
        <v>35</v>
      </c>
      <c r="C25" s="9" t="s">
        <v>36</v>
      </c>
      <c r="D25" s="9" t="s">
        <v>37</v>
      </c>
    </row>
    <row r="26" spans="1:8" x14ac:dyDescent="0.45">
      <c r="B26" s="18" t="s">
        <v>38</v>
      </c>
      <c r="C26" s="19"/>
      <c r="D26" s="19"/>
    </row>
    <row r="27" spans="1:8" x14ac:dyDescent="0.45">
      <c r="B27" s="1" t="s">
        <v>39</v>
      </c>
      <c r="C27" s="10">
        <f>ROUND(MAX((C10/100)*(C7-C22-IF(UPPER(C11)="YES",21600,0))/(1+(C10/100)*(0.12*IF(UPPER(C11)="YES",0,1)+0.0481*IF(UPPER(C12)="YES",1,0))),C7*0.5),0)</f>
        <v>150000</v>
      </c>
      <c r="D27" s="10">
        <f t="shared" ref="D27:D35" si="0">C27/12</f>
        <v>12500</v>
      </c>
    </row>
    <row r="28" spans="1:8" x14ac:dyDescent="0.45">
      <c r="B28" s="1" t="s">
        <v>40</v>
      </c>
      <c r="C28" s="10">
        <f>IF(UPPER(C9)="METRO",C27*0.5,C27*0.4)</f>
        <v>75000</v>
      </c>
      <c r="D28" s="10">
        <f t="shared" si="0"/>
        <v>6250</v>
      </c>
    </row>
    <row r="29" spans="1:8" x14ac:dyDescent="0.45">
      <c r="B29" s="1" t="s">
        <v>41</v>
      </c>
      <c r="C29" s="10">
        <f>MIN(C8,MAX(0,C7-C27-C28-C37-C38-C22))</f>
        <v>28185</v>
      </c>
      <c r="D29" s="10">
        <f t="shared" si="0"/>
        <v>2348.75</v>
      </c>
    </row>
    <row r="30" spans="1:8" x14ac:dyDescent="0.45">
      <c r="B30" s="1" t="s">
        <v>42</v>
      </c>
      <c r="C30" s="10">
        <f>MIN(C15,72000,MAX(0,C7-C27-C28-C37-C38-C22-C29))</f>
        <v>0</v>
      </c>
      <c r="D30" s="10">
        <f t="shared" si="0"/>
        <v>0</v>
      </c>
    </row>
    <row r="31" spans="1:8" x14ac:dyDescent="0.45">
      <c r="B31" s="1" t="s">
        <v>43</v>
      </c>
      <c r="C31" s="10">
        <f>MIN(C16,216000,MAX(0,C7-C27-C28-C37-C38-C22-C29-C30))</f>
        <v>0</v>
      </c>
      <c r="D31" s="10">
        <f t="shared" si="0"/>
        <v>0</v>
      </c>
    </row>
    <row r="32" spans="1:8" x14ac:dyDescent="0.45">
      <c r="B32" s="1" t="s">
        <v>44</v>
      </c>
      <c r="C32" s="10">
        <f>MIN(C17,105600,MAX(0,C7-C27-C28-C37-C38-C22-C29-C30-C31))</f>
        <v>0</v>
      </c>
      <c r="D32" s="10">
        <f t="shared" si="0"/>
        <v>0</v>
      </c>
    </row>
    <row r="33" spans="1:8" x14ac:dyDescent="0.45">
      <c r="B33" s="1" t="s">
        <v>45</v>
      </c>
      <c r="C33" s="10">
        <f>MIN(C18,15000,MAX(0,C7-C27-C28-C37-C38-C22-C29-C30-C31-C32))</f>
        <v>0</v>
      </c>
      <c r="D33" s="10">
        <f t="shared" si="0"/>
        <v>0</v>
      </c>
    </row>
    <row r="34" spans="1:8" x14ac:dyDescent="0.45">
      <c r="B34" s="1" t="s">
        <v>46</v>
      </c>
      <c r="C34" s="10">
        <f>MIN(C19,MAX(0,C7-C27-C28-C37-C38-C22-C29-C30-C31-C32-C33))</f>
        <v>0</v>
      </c>
      <c r="D34" s="10">
        <f t="shared" si="0"/>
        <v>0</v>
      </c>
    </row>
    <row r="35" spans="1:8" x14ac:dyDescent="0.45">
      <c r="B35" s="1" t="s">
        <v>47</v>
      </c>
      <c r="C35" s="10">
        <f>MAX(0,C7-C27-C28-C37-C38-C22-C29-C30-C31-C32-C33-C34)</f>
        <v>0</v>
      </c>
      <c r="D35" s="10">
        <f t="shared" si="0"/>
        <v>0</v>
      </c>
    </row>
    <row r="36" spans="1:8" x14ac:dyDescent="0.45">
      <c r="B36" s="18" t="s">
        <v>48</v>
      </c>
      <c r="C36" s="19"/>
      <c r="D36" s="19"/>
    </row>
    <row r="37" spans="1:8" x14ac:dyDescent="0.45">
      <c r="B37" s="1" t="s">
        <v>49</v>
      </c>
      <c r="C37" s="10">
        <f>IF(UPPER(C11)="YES",21600,C27*0.12)</f>
        <v>21600</v>
      </c>
      <c r="D37" s="10">
        <f>C37/12</f>
        <v>1800</v>
      </c>
    </row>
    <row r="38" spans="1:8" x14ac:dyDescent="0.45">
      <c r="B38" s="1" t="s">
        <v>50</v>
      </c>
      <c r="C38" s="10">
        <f>IF(UPPER(C12)="YES",C27*0.0481,0)</f>
        <v>7214.9999999999991</v>
      </c>
      <c r="D38" s="10">
        <f>C38/12</f>
        <v>601.24999999999989</v>
      </c>
    </row>
    <row r="39" spans="1:8" x14ac:dyDescent="0.45">
      <c r="B39" s="1" t="s">
        <v>51</v>
      </c>
      <c r="C39" s="10">
        <f>C22</f>
        <v>18000</v>
      </c>
      <c r="D39" s="10">
        <f>C39/12</f>
        <v>1500</v>
      </c>
    </row>
    <row r="40" spans="1:8" ht="15.75" customHeight="1" x14ac:dyDescent="0.45">
      <c r="B40" s="11" t="s">
        <v>52</v>
      </c>
      <c r="C40" s="12">
        <f>C27+C28+C29+C30+C31+C32+C33+C34+C35+C37+C38+C39</f>
        <v>300000</v>
      </c>
      <c r="D40" s="12">
        <f>C40/12</f>
        <v>25000</v>
      </c>
    </row>
    <row r="41" spans="1:8" ht="42" customHeight="1" x14ac:dyDescent="0.45">
      <c r="B41" s="21" t="str">
        <f>IFERROR(IF((C8+C15+C16+C17+C18+C19)&gt;(C29+C30+C31+C32+C33+C34),"Inputs exceed CTC budget - components auto-capped via waterfall (Variable then CEA then CHA then Meal then Gift then LTA). Basic locked at 50% floor per Code on Wages 2019. Special Allowance = Rs "&amp;TEXT(C35,"#,##0"),IF(ROUND(C27,0)=ROUND(C7*0.5,0),"Basic Salary locked at 50% of CTC floor (Code on Wages 2019 compliant). Structure fits - Special Allowance = Rs "&amp;TEXT(C35,"#,##0"),"Structure fits within CTC - Basic = "&amp;TEXT(C27/C7,"0.0%")&amp;" of CTC. Special Allowance = Rs "&amp;TEXT(C35,"#,##0"))),"Structure computed - review CTC Breakup and Tax Optimisation tabs.")</f>
        <v>Inputs exceed CTC budget - components auto-capped via waterfall (Variable then CEA then CHA then Meal then Gift then LTA). Basic locked at 50% floor per Code on Wages 2019. Special Allowance = Rs 0</v>
      </c>
      <c r="C41" s="19"/>
      <c r="D41" s="19"/>
    </row>
    <row r="43" spans="1:8" ht="21.75" customHeight="1" x14ac:dyDescent="0.45">
      <c r="A43" s="20" t="s">
        <v>53</v>
      </c>
      <c r="B43" s="15"/>
      <c r="C43" s="15"/>
      <c r="D43" s="15"/>
      <c r="E43" s="15"/>
      <c r="F43" s="15"/>
      <c r="G43" s="15"/>
      <c r="H43" s="15"/>
    </row>
    <row r="44" spans="1:8" x14ac:dyDescent="0.45">
      <c r="B44" s="1" t="s">
        <v>54</v>
      </c>
      <c r="C44" s="10">
        <f>C27+C28+C30+C31+C32+C33+C34+C35</f>
        <v>225000</v>
      </c>
      <c r="D44" s="10">
        <f>C44/12</f>
        <v>18750</v>
      </c>
    </row>
    <row r="45" spans="1:8" x14ac:dyDescent="0.45">
      <c r="B45" s="1" t="s">
        <v>55</v>
      </c>
      <c r="C45" s="10">
        <f>IF(UPPER(C11)="YES",21600,C27*0.12)</f>
        <v>21600</v>
      </c>
      <c r="D45" s="10">
        <f>C45/12</f>
        <v>1800</v>
      </c>
    </row>
    <row r="46" spans="1:8" x14ac:dyDescent="0.45">
      <c r="B46" s="1" t="s">
        <v>56</v>
      </c>
      <c r="C46" s="2">
        <v>2400</v>
      </c>
      <c r="D46" s="10">
        <f>C46/12</f>
        <v>200</v>
      </c>
    </row>
    <row r="47" spans="1:8" ht="15.75" customHeight="1" x14ac:dyDescent="0.45">
      <c r="B47" s="1" t="s">
        <v>57</v>
      </c>
      <c r="C47" s="3">
        <f>C44-C45-C46</f>
        <v>201000</v>
      </c>
      <c r="D47" s="3">
        <f>C47/12</f>
        <v>16750</v>
      </c>
    </row>
    <row r="50" spans="1:8" ht="18" customHeight="1" x14ac:dyDescent="0.45">
      <c r="A50" s="14" t="s">
        <v>58</v>
      </c>
      <c r="B50" s="15"/>
      <c r="C50" s="15"/>
      <c r="D50" s="15"/>
      <c r="E50" s="15"/>
      <c r="F50" s="15"/>
      <c r="G50" s="15"/>
      <c r="H50" s="15"/>
    </row>
  </sheetData>
  <sheetProtection password="BBBC" sheet="1" objects="1" scenarios="1"/>
  <mergeCells count="14">
    <mergeCell ref="A2:H2"/>
    <mergeCell ref="B26:D26"/>
    <mergeCell ref="A14:H14"/>
    <mergeCell ref="A1:H1"/>
    <mergeCell ref="A6:H6"/>
    <mergeCell ref="F7:G7"/>
    <mergeCell ref="A50:H50"/>
    <mergeCell ref="A4:H4"/>
    <mergeCell ref="A3:H3"/>
    <mergeCell ref="B36:D36"/>
    <mergeCell ref="A21:H21"/>
    <mergeCell ref="A43:H43"/>
    <mergeCell ref="B41:D41"/>
    <mergeCell ref="A24:H24"/>
  </mergeCells>
  <dataValidations count="2">
    <dataValidation type="list" showErrorMessage="1" errorTitle="Invalid City Type" error="Please select Metro or Non-Metro" sqref="C9" xr:uid="{00000000-0002-0000-0100-000000000000}">
      <formula1>"Metro,Non-Metro"</formula1>
      <formula2>0</formula2>
    </dataValidation>
    <dataValidation type="list" showErrorMessage="1" errorTitle="Invalid" error="Please select Yes or No" sqref="C11:C12" xr:uid="{00000000-0002-0000-0100-000001000000}">
      <formula1>"Yes,No"</formula1>
      <formula2>0</formula2>
    </dataValidation>
  </dataValidations>
  <pageMargins left="0.75" right="0.75" top="1" bottom="1" header="0.511811023622047" footer="0.511811023622047"/>
  <pageSetup paperSize="9" orientation="portrait" horizontalDpi="300" verticalDpi="30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F58"/>
  <sheetViews>
    <sheetView topLeftCell="A18" zoomScaleNormal="100" workbookViewId="0">
      <selection sqref="A1:F1"/>
    </sheetView>
  </sheetViews>
  <sheetFormatPr defaultColWidth="8.73046875" defaultRowHeight="14.25" x14ac:dyDescent="0.45"/>
  <cols>
    <col min="1" max="1" width="4" customWidth="1"/>
    <col min="2" max="2" width="42" customWidth="1"/>
    <col min="3" max="4" width="20" customWidth="1"/>
    <col min="5" max="5" width="4" customWidth="1"/>
    <col min="6" max="6" width="32" customWidth="1"/>
    <col min="7" max="7" width="5" customWidth="1"/>
  </cols>
  <sheetData>
    <row r="1" spans="1:6" ht="25.5" customHeight="1" x14ac:dyDescent="0.45">
      <c r="A1" s="23" t="s">
        <v>0</v>
      </c>
      <c r="B1" s="15"/>
      <c r="C1" s="15"/>
      <c r="D1" s="15"/>
      <c r="E1" s="15"/>
      <c r="F1" s="15"/>
    </row>
    <row r="2" spans="1:6" ht="24" customHeight="1" x14ac:dyDescent="0.45">
      <c r="A2" s="22" t="s">
        <v>87</v>
      </c>
      <c r="B2" s="15"/>
      <c r="C2" s="15"/>
      <c r="D2" s="15"/>
      <c r="E2" s="15"/>
      <c r="F2" s="15"/>
    </row>
    <row r="3" spans="1:6" ht="18" customHeight="1" x14ac:dyDescent="0.45">
      <c r="A3" s="17" t="s">
        <v>2</v>
      </c>
      <c r="B3" s="15"/>
      <c r="C3" s="15"/>
      <c r="D3" s="15"/>
      <c r="E3" s="15"/>
      <c r="F3" s="15"/>
    </row>
    <row r="4" spans="1:6" ht="15.75" customHeight="1" x14ac:dyDescent="0.45">
      <c r="A4" s="16" t="s">
        <v>88</v>
      </c>
      <c r="B4" s="15"/>
      <c r="C4" s="15"/>
      <c r="D4" s="15"/>
      <c r="E4" s="15"/>
      <c r="F4" s="15"/>
    </row>
    <row r="6" spans="1:6" ht="21.75" customHeight="1" x14ac:dyDescent="0.45">
      <c r="A6" s="20" t="s">
        <v>89</v>
      </c>
      <c r="B6" s="15"/>
      <c r="C6" s="15"/>
      <c r="D6" s="15"/>
      <c r="E6" s="15"/>
      <c r="F6" s="15"/>
    </row>
    <row r="7" spans="1:6" x14ac:dyDescent="0.45">
      <c r="B7" s="1" t="s">
        <v>90</v>
      </c>
      <c r="C7" s="10">
        <f>'CTC Breakup'!C44</f>
        <v>225000</v>
      </c>
    </row>
    <row r="8" spans="1:6" x14ac:dyDescent="0.45">
      <c r="B8" s="1" t="s">
        <v>91</v>
      </c>
      <c r="C8" s="10">
        <f>'CTC Breakup'!C29</f>
        <v>28185</v>
      </c>
    </row>
    <row r="9" spans="1:6" x14ac:dyDescent="0.45">
      <c r="B9" s="1" t="s">
        <v>92</v>
      </c>
      <c r="C9" s="10">
        <f>C7+C8</f>
        <v>253185</v>
      </c>
    </row>
    <row r="10" spans="1:6" x14ac:dyDescent="0.45">
      <c r="B10" s="1" t="s">
        <v>93</v>
      </c>
      <c r="C10" s="2">
        <f>'HRA Exemption'!C17</f>
        <v>75000</v>
      </c>
    </row>
    <row r="11" spans="1:6" x14ac:dyDescent="0.45">
      <c r="B11" s="1" t="s">
        <v>94</v>
      </c>
      <c r="C11" s="2">
        <v>0</v>
      </c>
    </row>
    <row r="12" spans="1:6" x14ac:dyDescent="0.45">
      <c r="B12" s="1" t="s">
        <v>95</v>
      </c>
      <c r="C12" s="10">
        <f>'CTC Breakup'!C30</f>
        <v>0</v>
      </c>
    </row>
    <row r="13" spans="1:6" x14ac:dyDescent="0.45">
      <c r="B13" s="1" t="s">
        <v>96</v>
      </c>
      <c r="C13" s="10">
        <f>'CTC Breakup'!C31</f>
        <v>0</v>
      </c>
    </row>
    <row r="14" spans="1:6" x14ac:dyDescent="0.45">
      <c r="B14" s="1" t="s">
        <v>97</v>
      </c>
      <c r="C14" s="10">
        <f>'CTC Breakup'!C32</f>
        <v>0</v>
      </c>
    </row>
    <row r="15" spans="1:6" x14ac:dyDescent="0.45">
      <c r="B15" s="1" t="s">
        <v>98</v>
      </c>
      <c r="C15" s="10">
        <f>'CTC Breakup'!C33</f>
        <v>0</v>
      </c>
    </row>
    <row r="16" spans="1:6" x14ac:dyDescent="0.45">
      <c r="B16" s="1" t="s">
        <v>99</v>
      </c>
      <c r="C16" s="10">
        <f>'CTC Breakup'!C34</f>
        <v>0</v>
      </c>
    </row>
    <row r="18" spans="1:6" ht="21.75" customHeight="1" x14ac:dyDescent="0.45">
      <c r="A18" s="20" t="s">
        <v>100</v>
      </c>
      <c r="B18" s="15"/>
      <c r="C18" s="15"/>
      <c r="D18" s="15"/>
      <c r="E18" s="15"/>
      <c r="F18" s="15"/>
    </row>
    <row r="19" spans="1:6" x14ac:dyDescent="0.45">
      <c r="B19" s="1" t="s">
        <v>101</v>
      </c>
      <c r="C19" s="2">
        <v>150000</v>
      </c>
    </row>
    <row r="20" spans="1:6" x14ac:dyDescent="0.45">
      <c r="B20" s="1" t="s">
        <v>102</v>
      </c>
      <c r="C20" s="2">
        <v>25000</v>
      </c>
    </row>
    <row r="21" spans="1:6" x14ac:dyDescent="0.45">
      <c r="B21" s="1" t="s">
        <v>103</v>
      </c>
      <c r="C21" s="2">
        <v>50000</v>
      </c>
    </row>
    <row r="22" spans="1:6" x14ac:dyDescent="0.45">
      <c r="B22" s="1" t="s">
        <v>104</v>
      </c>
      <c r="C22" s="2">
        <v>0</v>
      </c>
    </row>
    <row r="23" spans="1:6" x14ac:dyDescent="0.45">
      <c r="B23" s="1" t="s">
        <v>105</v>
      </c>
      <c r="C23" s="2">
        <v>0</v>
      </c>
    </row>
    <row r="25" spans="1:6" ht="21.75" customHeight="1" x14ac:dyDescent="0.45">
      <c r="A25" s="20" t="s">
        <v>106</v>
      </c>
      <c r="B25" s="15"/>
      <c r="C25" s="15"/>
      <c r="D25" s="15"/>
      <c r="E25" s="15"/>
      <c r="F25" s="15"/>
    </row>
    <row r="26" spans="1:6" ht="21.75" customHeight="1" x14ac:dyDescent="0.45">
      <c r="B26" s="9" t="s">
        <v>107</v>
      </c>
      <c r="C26" s="9" t="s">
        <v>108</v>
      </c>
      <c r="D26" s="9" t="s">
        <v>109</v>
      </c>
    </row>
    <row r="27" spans="1:6" x14ac:dyDescent="0.45">
      <c r="B27" s="1" t="s">
        <v>110</v>
      </c>
      <c r="C27" s="10">
        <f>C9</f>
        <v>253185</v>
      </c>
      <c r="D27" s="10">
        <f>C9</f>
        <v>253185</v>
      </c>
    </row>
    <row r="28" spans="1:6" x14ac:dyDescent="0.45">
      <c r="B28" s="1" t="s">
        <v>111</v>
      </c>
      <c r="C28" s="10">
        <f>C10</f>
        <v>75000</v>
      </c>
      <c r="D28" s="10">
        <v>0</v>
      </c>
    </row>
    <row r="29" spans="1:6" x14ac:dyDescent="0.45">
      <c r="B29" s="1" t="s">
        <v>112</v>
      </c>
      <c r="C29" s="10">
        <f>MIN(C11,C16)</f>
        <v>0</v>
      </c>
      <c r="D29" s="10">
        <v>0</v>
      </c>
    </row>
    <row r="30" spans="1:6" x14ac:dyDescent="0.45">
      <c r="B30" s="1" t="s">
        <v>113</v>
      </c>
      <c r="C30" s="10">
        <f>MIN(C12,72000)</f>
        <v>0</v>
      </c>
      <c r="D30" s="10">
        <v>0</v>
      </c>
    </row>
    <row r="31" spans="1:6" x14ac:dyDescent="0.45">
      <c r="B31" s="1" t="s">
        <v>114</v>
      </c>
      <c r="C31" s="10">
        <f>MIN(C13,216000)</f>
        <v>0</v>
      </c>
      <c r="D31" s="10">
        <v>0</v>
      </c>
    </row>
    <row r="32" spans="1:6" x14ac:dyDescent="0.45">
      <c r="B32" s="1" t="s">
        <v>115</v>
      </c>
      <c r="C32" s="10">
        <f>MIN(C14,105600)</f>
        <v>0</v>
      </c>
      <c r="D32" s="10">
        <f>MIN(C14,105600)</f>
        <v>0</v>
      </c>
    </row>
    <row r="33" spans="2:4" x14ac:dyDescent="0.45">
      <c r="B33" s="1" t="s">
        <v>116</v>
      </c>
      <c r="C33" s="10">
        <f>MIN(C15,15000)</f>
        <v>0</v>
      </c>
      <c r="D33" s="10">
        <f>MIN(C15,15000)</f>
        <v>0</v>
      </c>
    </row>
    <row r="34" spans="2:4" x14ac:dyDescent="0.45">
      <c r="B34" s="1" t="s">
        <v>117</v>
      </c>
      <c r="C34" s="10">
        <v>50000</v>
      </c>
      <c r="D34" s="10">
        <v>75000</v>
      </c>
    </row>
    <row r="35" spans="2:4" x14ac:dyDescent="0.45">
      <c r="B35" s="1" t="s">
        <v>118</v>
      </c>
      <c r="C35" s="10">
        <f>'CTC Breakup'!C46</f>
        <v>2400</v>
      </c>
      <c r="D35" s="10">
        <v>0</v>
      </c>
    </row>
    <row r="36" spans="2:4" x14ac:dyDescent="0.45">
      <c r="B36" s="1" t="s">
        <v>119</v>
      </c>
      <c r="C36" s="10">
        <f>MAX(0,C27-C28-C29-C30-C31-C32-C33-C34-C35)</f>
        <v>125785</v>
      </c>
      <c r="D36" s="10">
        <f>MAX(0,D27-D32-D33-D34)</f>
        <v>178185</v>
      </c>
    </row>
    <row r="37" spans="2:4" x14ac:dyDescent="0.45">
      <c r="B37" s="1" t="s">
        <v>120</v>
      </c>
      <c r="C37" s="10">
        <f>MIN(C19,150000)</f>
        <v>150000</v>
      </c>
      <c r="D37" s="10">
        <v>0</v>
      </c>
    </row>
    <row r="38" spans="2:4" x14ac:dyDescent="0.45">
      <c r="B38" s="1" t="s">
        <v>121</v>
      </c>
      <c r="C38" s="10">
        <f>C20</f>
        <v>25000</v>
      </c>
      <c r="D38" s="10">
        <v>0</v>
      </c>
    </row>
    <row r="39" spans="2:4" x14ac:dyDescent="0.45">
      <c r="B39" s="1" t="s">
        <v>122</v>
      </c>
      <c r="C39" s="10">
        <f>MIN(C21,50000)</f>
        <v>50000</v>
      </c>
      <c r="D39" s="10">
        <v>0</v>
      </c>
    </row>
    <row r="40" spans="2:4" x14ac:dyDescent="0.45">
      <c r="B40" s="1" t="s">
        <v>123</v>
      </c>
      <c r="C40" s="10">
        <f>MIN(C22,200000)</f>
        <v>0</v>
      </c>
      <c r="D40" s="10">
        <v>0</v>
      </c>
    </row>
    <row r="41" spans="2:4" x14ac:dyDescent="0.45">
      <c r="B41" s="1" t="s">
        <v>124</v>
      </c>
      <c r="C41" s="10">
        <f>C23</f>
        <v>0</v>
      </c>
      <c r="D41" s="10">
        <v>0</v>
      </c>
    </row>
    <row r="42" spans="2:4" ht="15.75" customHeight="1" x14ac:dyDescent="0.45">
      <c r="B42" s="1" t="s">
        <v>125</v>
      </c>
      <c r="C42" s="3">
        <f>MAX(0,C36-C37-C38-C39-C40-C41)</f>
        <v>0</v>
      </c>
      <c r="D42" s="3">
        <f>MAX(0,D36)</f>
        <v>178185</v>
      </c>
    </row>
    <row r="43" spans="2:4" x14ac:dyDescent="0.45">
      <c r="B43" s="1" t="s">
        <v>126</v>
      </c>
      <c r="C43" s="10">
        <f>IF(C42&lt;=250000,0,IF(C42&lt;=500000,(C42-250000)*0.05,IF(C42&lt;=1000000,12500+(C42-500000)*0.2,112500+(C42-1000000)*0.3)))</f>
        <v>0</v>
      </c>
      <c r="D43" s="10">
        <f>IF(D42&lt;=400000,0,IF(D42&lt;=800000,(D42-400000)*0.05,IF(D42&lt;=1200000,20000+(D42-800000)*0.1,IF(D42&lt;=1600000,60000+(D42-1200000)*0.15,IF(D42&lt;=2000000,120000+(D42-1600000)*0.2,IF(D42&lt;=2400000,200000+(D42-2000000)*0.25,300000+(D42-2400000)*0.3))))))</f>
        <v>0</v>
      </c>
    </row>
    <row r="44" spans="2:4" x14ac:dyDescent="0.45">
      <c r="B44" s="1" t="s">
        <v>127</v>
      </c>
      <c r="C44" s="10">
        <f>IF(C42&lt;=500000,MIN(C43,12500),0)</f>
        <v>0</v>
      </c>
      <c r="D44" s="10">
        <f>IF(D42&lt;=1200000,MIN(D43,60000),0)</f>
        <v>0</v>
      </c>
    </row>
    <row r="45" spans="2:4" x14ac:dyDescent="0.45">
      <c r="B45" s="1" t="s">
        <v>128</v>
      </c>
      <c r="C45" s="10">
        <f>MAX(0,C43-C44)</f>
        <v>0</v>
      </c>
      <c r="D45" s="10">
        <f>MAX(0,D43-D44)</f>
        <v>0</v>
      </c>
    </row>
    <row r="46" spans="2:4" x14ac:dyDescent="0.45">
      <c r="B46" s="1" t="s">
        <v>129</v>
      </c>
      <c r="C46" s="10">
        <f>C45*0.04</f>
        <v>0</v>
      </c>
      <c r="D46" s="10">
        <f>D45*0.04</f>
        <v>0</v>
      </c>
    </row>
    <row r="47" spans="2:4" ht="15.75" customHeight="1" x14ac:dyDescent="0.45">
      <c r="B47" s="1" t="s">
        <v>130</v>
      </c>
      <c r="C47" s="3">
        <f>C45+C46</f>
        <v>0</v>
      </c>
      <c r="D47" s="3">
        <f>D45+D46</f>
        <v>0</v>
      </c>
    </row>
    <row r="48" spans="2:4" x14ac:dyDescent="0.45">
      <c r="B48" s="1" t="s">
        <v>131</v>
      </c>
      <c r="C48" s="13">
        <f>IFERROR(C47/C9,0)</f>
        <v>0</v>
      </c>
      <c r="D48" s="13">
        <f>IFERROR(D47/D9,0)</f>
        <v>0</v>
      </c>
    </row>
    <row r="50" spans="1:6" ht="21.75" customHeight="1" x14ac:dyDescent="0.45">
      <c r="A50" s="20" t="s">
        <v>132</v>
      </c>
      <c r="B50" s="15"/>
      <c r="C50" s="15"/>
      <c r="D50" s="15"/>
      <c r="E50" s="15"/>
      <c r="F50" s="15"/>
    </row>
    <row r="51" spans="1:6" ht="36" customHeight="1" x14ac:dyDescent="0.45">
      <c r="B51" s="33" t="str">
        <f>IF(D47&lt;C47,"NEW REGIME saves Rs "&amp;TEXT(C47-D47,"#,##0")&amp;" — opt for New Regime",IF(C47&lt;D47,"OLD REGIME saves Rs "&amp;TEXT(D47-C47,"#,##0")&amp;" — opt for Old Regime","Both regimes give same tax — pick simpler New Regime"))</f>
        <v>Both regimes give same tax — pick simpler New Regime</v>
      </c>
      <c r="C51" s="19"/>
      <c r="D51" s="19"/>
    </row>
    <row r="53" spans="1:6" ht="15" customHeight="1" x14ac:dyDescent="0.45">
      <c r="B53" s="32" t="s">
        <v>133</v>
      </c>
      <c r="C53" s="15"/>
      <c r="D53" s="15"/>
    </row>
    <row r="54" spans="1:6" x14ac:dyDescent="0.45">
      <c r="B54" s="15"/>
      <c r="C54" s="15"/>
      <c r="D54" s="15"/>
    </row>
    <row r="55" spans="1:6" x14ac:dyDescent="0.45">
      <c r="B55" s="15"/>
      <c r="C55" s="15"/>
      <c r="D55" s="15"/>
    </row>
    <row r="58" spans="1:6" ht="18" customHeight="1" x14ac:dyDescent="0.45">
      <c r="A58" s="14" t="s">
        <v>58</v>
      </c>
      <c r="B58" s="15"/>
      <c r="C58" s="15"/>
      <c r="D58" s="15"/>
      <c r="E58" s="15"/>
      <c r="F58" s="15"/>
    </row>
  </sheetData>
  <sheetProtection password="BBBC" sheet="1" objects="1" scenarios="1"/>
  <mergeCells count="11">
    <mergeCell ref="A2:F2"/>
    <mergeCell ref="A1:F1"/>
    <mergeCell ref="B53:D55"/>
    <mergeCell ref="A58:F58"/>
    <mergeCell ref="A6:F6"/>
    <mergeCell ref="A18:F18"/>
    <mergeCell ref="A50:F50"/>
    <mergeCell ref="A4:F4"/>
    <mergeCell ref="A3:F3"/>
    <mergeCell ref="B51:D51"/>
    <mergeCell ref="A25:F25"/>
  </mergeCells>
  <pageMargins left="0.75" right="0.75" top="1" bottom="1" header="0.511811023622047" footer="0.511811023622047"/>
  <pageSetup paperSize="9" orientation="portrait" horizontalDpi="300" verticalDpi="30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E32"/>
  <sheetViews>
    <sheetView tabSelected="1" zoomScaleNormal="100" workbookViewId="0">
      <selection sqref="A1:E1"/>
    </sheetView>
  </sheetViews>
  <sheetFormatPr defaultColWidth="8.73046875" defaultRowHeight="14.25" x14ac:dyDescent="0.45"/>
  <cols>
    <col min="1" max="1" width="4" customWidth="1"/>
    <col min="2" max="2" width="42" customWidth="1"/>
    <col min="3" max="3" width="22" customWidth="1"/>
    <col min="4" max="4" width="4" customWidth="1"/>
    <col min="5" max="5" width="38" customWidth="1"/>
    <col min="6" max="6" width="4" customWidth="1"/>
  </cols>
  <sheetData>
    <row r="1" spans="1:5" ht="25.5" customHeight="1" x14ac:dyDescent="0.45">
      <c r="A1" s="23" t="s">
        <v>0</v>
      </c>
      <c r="B1" s="15"/>
      <c r="C1" s="15"/>
      <c r="D1" s="15"/>
      <c r="E1" s="15"/>
    </row>
    <row r="2" spans="1:5" ht="24" customHeight="1" x14ac:dyDescent="0.45">
      <c r="A2" s="22" t="s">
        <v>134</v>
      </c>
      <c r="B2" s="15"/>
      <c r="C2" s="15"/>
      <c r="D2" s="15"/>
      <c r="E2" s="15"/>
    </row>
    <row r="3" spans="1:5" ht="18" customHeight="1" x14ac:dyDescent="0.45">
      <c r="A3" s="17" t="s">
        <v>2</v>
      </c>
      <c r="B3" s="15"/>
      <c r="C3" s="15"/>
      <c r="D3" s="15"/>
      <c r="E3" s="15"/>
    </row>
    <row r="4" spans="1:5" ht="15.75" customHeight="1" x14ac:dyDescent="0.45">
      <c r="A4" s="16" t="s">
        <v>135</v>
      </c>
      <c r="B4" s="15"/>
      <c r="C4" s="15"/>
      <c r="D4" s="15"/>
      <c r="E4" s="15"/>
    </row>
    <row r="6" spans="1:5" ht="21.75" customHeight="1" x14ac:dyDescent="0.45">
      <c r="A6" s="20" t="s">
        <v>136</v>
      </c>
      <c r="B6" s="15"/>
      <c r="C6" s="15"/>
      <c r="D6" s="15"/>
      <c r="E6" s="15"/>
    </row>
    <row r="7" spans="1:5" x14ac:dyDescent="0.45">
      <c r="B7" s="1" t="s">
        <v>137</v>
      </c>
      <c r="C7" s="2">
        <f>'CTC Breakup'!C27</f>
        <v>150000</v>
      </c>
    </row>
    <row r="8" spans="1:5" x14ac:dyDescent="0.45">
      <c r="B8" s="1" t="s">
        <v>138</v>
      </c>
      <c r="C8" s="2">
        <v>0</v>
      </c>
    </row>
    <row r="9" spans="1:5" x14ac:dyDescent="0.45">
      <c r="B9" s="1" t="s">
        <v>139</v>
      </c>
      <c r="C9" s="2">
        <f>'CTC Breakup'!C28</f>
        <v>75000</v>
      </c>
    </row>
    <row r="10" spans="1:5" x14ac:dyDescent="0.45">
      <c r="B10" s="1" t="s">
        <v>140</v>
      </c>
      <c r="C10" s="2">
        <v>240000</v>
      </c>
    </row>
    <row r="11" spans="1:5" x14ac:dyDescent="0.45">
      <c r="B11" s="1" t="s">
        <v>141</v>
      </c>
      <c r="C11" s="4" t="str">
        <f>'CTC Breakup'!C9</f>
        <v>Metro</v>
      </c>
    </row>
    <row r="13" spans="1:5" ht="21.75" customHeight="1" x14ac:dyDescent="0.45">
      <c r="A13" s="20" t="s">
        <v>142</v>
      </c>
      <c r="B13" s="15"/>
      <c r="C13" s="15"/>
      <c r="D13" s="15"/>
      <c r="E13" s="15"/>
    </row>
    <row r="14" spans="1:5" x14ac:dyDescent="0.45">
      <c r="B14" s="1" t="s">
        <v>143</v>
      </c>
      <c r="C14" s="10">
        <f>C9</f>
        <v>75000</v>
      </c>
    </row>
    <row r="15" spans="1:5" x14ac:dyDescent="0.45">
      <c r="B15" s="1" t="s">
        <v>144</v>
      </c>
      <c r="C15" s="10">
        <f>MAX(0,C10-(C7+C8)*0.1)</f>
        <v>225000</v>
      </c>
    </row>
    <row r="16" spans="1:5" x14ac:dyDescent="0.45">
      <c r="B16" s="1" t="s">
        <v>145</v>
      </c>
      <c r="C16" s="10">
        <f>IF(UPPER(C11)="METRO",(C7+C8)*0.5,(C7+C8)*0.4)</f>
        <v>75000</v>
      </c>
    </row>
    <row r="17" spans="1:5" ht="15.75" customHeight="1" x14ac:dyDescent="0.45">
      <c r="B17" s="1" t="s">
        <v>146</v>
      </c>
      <c r="C17" s="3">
        <f>MIN(C14,C15,C16)</f>
        <v>75000</v>
      </c>
    </row>
    <row r="18" spans="1:5" ht="15.75" customHeight="1" x14ac:dyDescent="0.45">
      <c r="B18" s="1" t="s">
        <v>147</v>
      </c>
      <c r="C18" s="3">
        <f>C9-C17</f>
        <v>0</v>
      </c>
    </row>
    <row r="20" spans="1:5" ht="21.75" customHeight="1" x14ac:dyDescent="0.45">
      <c r="A20" s="29" t="s">
        <v>148</v>
      </c>
      <c r="B20" s="15"/>
      <c r="C20" s="15"/>
      <c r="D20" s="15"/>
      <c r="E20" s="15"/>
    </row>
    <row r="21" spans="1:5" ht="15" customHeight="1" x14ac:dyDescent="0.45">
      <c r="B21" s="34" t="s">
        <v>149</v>
      </c>
      <c r="C21" s="15"/>
      <c r="D21" s="15"/>
      <c r="E21" s="15"/>
    </row>
    <row r="22" spans="1:5" ht="15" customHeight="1" x14ac:dyDescent="0.45">
      <c r="B22" s="34" t="s">
        <v>150</v>
      </c>
      <c r="C22" s="15"/>
      <c r="D22" s="15"/>
      <c r="E22" s="15"/>
    </row>
    <row r="23" spans="1:5" ht="15" customHeight="1" x14ac:dyDescent="0.45">
      <c r="B23" s="34" t="s">
        <v>151</v>
      </c>
      <c r="C23" s="15"/>
      <c r="D23" s="15"/>
      <c r="E23" s="15"/>
    </row>
    <row r="24" spans="1:5" ht="15" customHeight="1" x14ac:dyDescent="0.45">
      <c r="B24" s="34" t="s">
        <v>152</v>
      </c>
      <c r="C24" s="15"/>
      <c r="D24" s="15"/>
      <c r="E24" s="15"/>
    </row>
    <row r="25" spans="1:5" ht="15" customHeight="1" x14ac:dyDescent="0.45">
      <c r="B25" s="34" t="s">
        <v>153</v>
      </c>
      <c r="C25" s="15"/>
      <c r="D25" s="15"/>
      <c r="E25" s="15"/>
    </row>
    <row r="26" spans="1:5" ht="15" customHeight="1" x14ac:dyDescent="0.45">
      <c r="B26" s="34" t="s">
        <v>154</v>
      </c>
      <c r="C26" s="15"/>
      <c r="D26" s="15"/>
      <c r="E26" s="15"/>
    </row>
    <row r="27" spans="1:5" ht="15" customHeight="1" x14ac:dyDescent="0.45">
      <c r="B27" s="34" t="s">
        <v>155</v>
      </c>
      <c r="C27" s="15"/>
      <c r="D27" s="15"/>
      <c r="E27" s="15"/>
    </row>
    <row r="28" spans="1:5" ht="15" customHeight="1" x14ac:dyDescent="0.45">
      <c r="B28" s="34" t="s">
        <v>156</v>
      </c>
      <c r="C28" s="15"/>
      <c r="D28" s="15"/>
      <c r="E28" s="15"/>
    </row>
    <row r="29" spans="1:5" ht="15" customHeight="1" x14ac:dyDescent="0.45">
      <c r="B29" s="34" t="s">
        <v>157</v>
      </c>
      <c r="C29" s="15"/>
      <c r="D29" s="15"/>
      <c r="E29" s="15"/>
    </row>
    <row r="32" spans="1:5" ht="18" customHeight="1" x14ac:dyDescent="0.45">
      <c r="A32" s="14" t="s">
        <v>58</v>
      </c>
      <c r="B32" s="15"/>
      <c r="C32" s="15"/>
      <c r="D32" s="15"/>
      <c r="E32" s="15"/>
    </row>
  </sheetData>
  <sheetProtection password="BBBC" sheet="1" objects="1" scenarios="1"/>
  <mergeCells count="17">
    <mergeCell ref="A32:E32"/>
    <mergeCell ref="A13:E13"/>
    <mergeCell ref="A6:E6"/>
    <mergeCell ref="B28:E28"/>
    <mergeCell ref="B22:E22"/>
    <mergeCell ref="A2:E2"/>
    <mergeCell ref="B21:E21"/>
    <mergeCell ref="B29:E29"/>
    <mergeCell ref="B25:E25"/>
    <mergeCell ref="A1:E1"/>
    <mergeCell ref="B24:E24"/>
    <mergeCell ref="A3:E3"/>
    <mergeCell ref="B26:E26"/>
    <mergeCell ref="B27:E27"/>
    <mergeCell ref="A4:E4"/>
    <mergeCell ref="B23:E23"/>
    <mergeCell ref="A20:E20"/>
  </mergeCells>
  <dataValidations count="1">
    <dataValidation type="list" showErrorMessage="1" errorTitle="Invalid City Type" error="Please select Metro or Non-Metro" sqref="C11" xr:uid="{00000000-0002-0000-0300-000000000000}">
      <formula1>"Metro,Non-Metro"</formula1>
      <formula2>0</formula2>
    </dataValidation>
  </dataValidations>
  <pageMargins left="0.75" right="0.75" top="1" bottom="1" header="0.511811023622047" footer="0.511811023622047"/>
  <pageSetup paperSize="9" orientation="portrait" horizontalDpi="300" verticalDpi="30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Cover</vt:lpstr>
      <vt:lpstr>CTC Breakup</vt:lpstr>
      <vt:lpstr>Tax Optimisation</vt:lpstr>
      <vt:lpstr>HRA Exemption</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openpyxl</dc:creator>
  <cp:lastModifiedBy>Tirumalesh Malla</cp:lastModifiedBy>
  <cp:revision>0</cp:revision>
  <dcterms:created xsi:type="dcterms:W3CDTF">2026-04-20T08:56:29Z</dcterms:created>
  <dcterms:modified xsi:type="dcterms:W3CDTF">2026-07-13T15:53:53Z</dcterms:modified>
  <dc:language>en-US</dc:language>
</cp:coreProperties>
</file>