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20" windowWidth="29040" windowHeight="15840" tabRatio="500" firstSheet="0" activeTab="2" autoFilterDateGrouping="1"/>
  </bookViews>
  <sheets>
    <sheet xmlns:r="http://schemas.openxmlformats.org/officeDocument/2006/relationships" name="Cover" sheetId="1" state="visible" r:id="rId1"/>
    <sheet xmlns:r="http://schemas.openxmlformats.org/officeDocument/2006/relationships" name="FD Calculator" sheetId="2" state="visible" r:id="rId2"/>
    <sheet xmlns:r="http://schemas.openxmlformats.org/officeDocument/2006/relationships" name="RD Calculator" sheetId="3" state="visible" r:id="rId3"/>
  </sheets>
  <definedNames/>
  <calcPr calcId="191029" fullCalcOnLoad="1" iterateDelta="0.0001"/>
</workbook>
</file>

<file path=xl/styles.xml><?xml version="1.0" encoding="utf-8"?>
<styleSheet xmlns="http://schemas.openxmlformats.org/spreadsheetml/2006/main">
  <numFmts count="6">
    <numFmt numFmtId="164" formatCode="\₹#,##0"/>
    <numFmt numFmtId="165" formatCode="0.00\%"/>
    <numFmt numFmtId="166" formatCode="0.0"/>
    <numFmt numFmtId="167" formatCode="0.0000%"/>
    <numFmt numFmtId="168" formatCode="\₹#,##0.00"/>
    <numFmt numFmtId="169" formatCode="0.00000000"/>
  </numFmts>
  <fonts count="16">
    <font>
      <name val="Calibri"/>
      <charset val="1"/>
      <family val="2"/>
      <color theme="1"/>
      <sz val="11"/>
    </font>
    <font>
      <name val="Calibri"/>
      <charset val="1"/>
      <b val="1"/>
      <color rgb="FFFFFFFF"/>
      <sz val="14"/>
    </font>
    <font>
      <name val="Calibri"/>
      <charset val="1"/>
      <b val="1"/>
      <color rgb="FF1E3A8A"/>
      <sz val="16"/>
    </font>
    <font>
      <name val="Calibri"/>
      <charset val="1"/>
      <i val="1"/>
      <color rgb="FF64748B"/>
      <sz val="10"/>
    </font>
    <font>
      <name val="Calibri"/>
      <charset val="1"/>
      <i val="1"/>
      <color rgb="FFF97316"/>
      <sz val="10"/>
    </font>
    <font>
      <name val="Calibri"/>
      <charset val="1"/>
      <b val="1"/>
      <color rgb="FF1E3A8A"/>
      <sz val="13"/>
    </font>
    <font>
      <name val="Calibri"/>
      <charset val="1"/>
      <sz val="11"/>
    </font>
    <font>
      <name val="Calibri"/>
      <charset val="1"/>
      <i val="1"/>
      <color rgb="FF1E3A8A"/>
      <sz val="11"/>
    </font>
    <font>
      <name val="Calibri"/>
      <charset val="1"/>
      <b val="1"/>
      <color rgb="FFFFFFFF"/>
      <sz val="12"/>
    </font>
    <font>
      <name val="Calibri"/>
      <charset val="1"/>
      <i val="1"/>
      <color rgb="FF64748B"/>
      <sz val="9"/>
    </font>
    <font>
      <name val="Calibri"/>
      <charset val="1"/>
      <b val="1"/>
      <color rgb="FF000000"/>
      <sz val="11"/>
    </font>
    <font>
      <name val="Calibri"/>
      <charset val="1"/>
      <b val="1"/>
      <color rgb="FF0000FF"/>
      <sz val="11"/>
    </font>
    <font>
      <name val="Calibri"/>
      <charset val="1"/>
      <color rgb="FF000000"/>
      <sz val="11"/>
    </font>
    <font>
      <name val="Calibri"/>
      <charset val="1"/>
      <b val="1"/>
      <color rgb="FF1E3A8A"/>
      <sz val="12"/>
    </font>
    <font>
      <name val="Calibri"/>
      <charset val="1"/>
      <b val="1"/>
      <color rgb="FFFFFFFF"/>
      <sz val="11"/>
    </font>
    <font>
      <name val="Calibri"/>
      <charset val="1"/>
      <sz val="10"/>
    </font>
  </fonts>
  <fills count="9">
    <fill>
      <patternFill/>
    </fill>
    <fill>
      <patternFill patternType="gray125"/>
    </fill>
    <fill>
      <patternFill patternType="solid">
        <fgColor rgb="FF1E3A8A"/>
        <bgColor rgb="FF003366"/>
      </patternFill>
    </fill>
    <fill>
      <patternFill patternType="solid">
        <fgColor rgb="FFE0E7FF"/>
        <bgColor rgb="FFE2E8F0"/>
      </patternFill>
    </fill>
    <fill>
      <patternFill patternType="solid">
        <fgColor rgb="FFF97316"/>
        <bgColor rgb="FFFF9900"/>
      </patternFill>
    </fill>
    <fill>
      <patternFill patternType="solid">
        <fgColor rgb="FFE2E8F0"/>
        <bgColor rgb="FFE0E7FF"/>
      </patternFill>
    </fill>
    <fill>
      <patternFill patternType="solid">
        <fgColor rgb="FFFFF4C2"/>
        <bgColor rgb="FFF8FAFC"/>
      </patternFill>
    </fill>
    <fill>
      <patternFill patternType="solid">
        <fgColor rgb="FFF8FAFC"/>
        <bgColor rgb="FFFFFFFF"/>
      </patternFill>
    </fill>
    <fill>
      <patternFill patternType="solid">
        <fgColor rgb="FFDCFCE7"/>
        <bgColor rgb="FFE2E8F0"/>
      </patternFill>
    </fill>
  </fills>
  <borders count="2">
    <border>
      <left/>
      <right/>
      <top/>
      <bottom/>
      <diagonal/>
    </border>
    <border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</borders>
  <cellStyleXfs count="1">
    <xf numFmtId="0" fontId="0" fillId="0" borderId="0"/>
  </cellStyleXfs>
  <cellXfs count="53">
    <xf numFmtId="0" fontId="0" fillId="0" borderId="0" pivotButton="0" quotePrefix="0" xfId="0"/>
    <xf numFmtId="0" fontId="8" fillId="2" borderId="0" applyAlignment="1" pivotButton="0" quotePrefix="0" xfId="0">
      <alignment horizontal="left" vertical="center" indent="1"/>
    </xf>
    <xf numFmtId="0" fontId="9" fillId="5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left" vertical="top" wrapText="1"/>
    </xf>
    <xf numFmtId="0" fontId="8" fillId="4" borderId="0" applyAlignment="1" pivotButton="0" quotePrefix="0" xfId="0">
      <alignment horizontal="left" vertical="center" indent="1"/>
    </xf>
    <xf numFmtId="0" fontId="7" fillId="0" borderId="0" applyAlignment="1" pivotButton="0" quotePrefix="0" xfId="0">
      <alignment horizontal="left" vertical="center" wrapText="1"/>
    </xf>
    <xf numFmtId="0" fontId="6" fillId="0" borderId="0" applyAlignment="1" pivotButton="0" quotePrefix="0" xfId="0">
      <alignment horizontal="left" vertical="top" wrapText="1"/>
    </xf>
    <xf numFmtId="0" fontId="5" fillId="3" borderId="0" applyAlignment="1" pivotButton="0" quotePrefix="0" xfId="0">
      <alignment horizontal="left" vertical="center" wrapText="1"/>
    </xf>
    <xf numFmtId="0" fontId="4" fillId="0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1" fillId="2" borderId="0" applyAlignment="1" pivotButton="0" quotePrefix="0" xfId="0">
      <alignment horizontal="center" vertical="center"/>
    </xf>
    <xf numFmtId="0" fontId="10" fillId="0" borderId="1" applyAlignment="1" pivotButton="0" quotePrefix="0" xfId="0">
      <alignment horizontal="left" vertical="center" indent="1"/>
    </xf>
    <xf numFmtId="164" fontId="11" fillId="6" borderId="1" applyAlignment="1" applyProtection="1" pivotButton="0" quotePrefix="0" xfId="0">
      <alignment horizontal="right" vertical="center"/>
      <protection locked="0" hidden="0"/>
    </xf>
    <xf numFmtId="165" fontId="11" fillId="6" borderId="1" applyAlignment="1" applyProtection="1" pivotButton="0" quotePrefix="0" xfId="0">
      <alignment horizontal="right" vertical="center"/>
      <protection locked="0" hidden="0"/>
    </xf>
    <xf numFmtId="166" fontId="11" fillId="6" borderId="1" applyAlignment="1" applyProtection="1" pivotButton="0" quotePrefix="0" xfId="0">
      <alignment horizontal="right" vertical="center"/>
      <protection locked="0" hidden="0"/>
    </xf>
    <xf numFmtId="0" fontId="11" fillId="6" borderId="1" applyAlignment="1" applyProtection="1" pivotButton="0" quotePrefix="0" xfId="0">
      <alignment horizontal="center" vertical="center"/>
      <protection locked="0" hidden="0"/>
    </xf>
    <xf numFmtId="164" fontId="12" fillId="7" borderId="1" applyAlignment="1" pivotButton="0" quotePrefix="0" xfId="0">
      <alignment horizontal="right" vertical="center"/>
    </xf>
    <xf numFmtId="167" fontId="12" fillId="7" borderId="1" applyAlignment="1" pivotButton="0" quotePrefix="0" xfId="0">
      <alignment horizontal="right" vertical="center"/>
    </xf>
    <xf numFmtId="166" fontId="12" fillId="7" borderId="1" applyAlignment="1" pivotButton="0" quotePrefix="0" xfId="0">
      <alignment horizontal="right" vertical="center"/>
    </xf>
    <xf numFmtId="168" fontId="13" fillId="8" borderId="1" applyAlignment="1" pivotButton="0" quotePrefix="0" xfId="0">
      <alignment horizontal="right" vertical="center"/>
    </xf>
    <xf numFmtId="10" fontId="12" fillId="7" borderId="1" applyAlignment="1" pivotButton="0" quotePrefix="0" xfId="0">
      <alignment horizontal="right" vertical="center"/>
    </xf>
    <xf numFmtId="0" fontId="12" fillId="7" borderId="1" applyAlignment="1" pivotButton="0" quotePrefix="0" xfId="0">
      <alignment horizontal="center" vertical="center"/>
    </xf>
    <xf numFmtId="0" fontId="14" fillId="2" borderId="1" applyAlignment="1" pivotButton="0" quotePrefix="0" xfId="0">
      <alignment horizontal="center" vertical="center" wrapText="1"/>
    </xf>
    <xf numFmtId="1" fontId="6" fillId="7" borderId="1" applyAlignment="1" pivotButton="0" quotePrefix="0" xfId="0">
      <alignment horizontal="center" vertical="center"/>
    </xf>
    <xf numFmtId="168" fontId="6" fillId="7" borderId="1" applyAlignment="1" pivotButton="0" quotePrefix="0" xfId="0">
      <alignment horizontal="right" vertical="center"/>
    </xf>
    <xf numFmtId="1" fontId="6" fillId="0" borderId="1" applyAlignment="1" pivotButton="0" quotePrefix="0" xfId="0">
      <alignment horizontal="center" vertical="center"/>
    </xf>
    <xf numFmtId="168" fontId="6" fillId="0" borderId="1" applyAlignment="1" pivotButton="0" quotePrefix="0" xfId="0">
      <alignment horizontal="right" vertical="center"/>
    </xf>
    <xf numFmtId="1" fontId="11" fillId="6" borderId="1" applyAlignment="1" applyProtection="1" pivotButton="0" quotePrefix="0" xfId="0">
      <alignment horizontal="right" vertical="center"/>
      <protection locked="0" hidden="0"/>
    </xf>
    <xf numFmtId="169" fontId="12" fillId="7" borderId="1" applyAlignment="1" pivotButton="0" quotePrefix="0" xfId="0">
      <alignment horizontal="right" vertical="center"/>
    </xf>
    <xf numFmtId="1" fontId="15" fillId="7" borderId="1" applyAlignment="1" pivotButton="0" quotePrefix="0" xfId="0">
      <alignment horizontal="center" vertical="center"/>
    </xf>
    <xf numFmtId="164" fontId="15" fillId="7" borderId="1" applyAlignment="1" pivotButton="0" quotePrefix="0" xfId="0">
      <alignment horizontal="right" vertical="center"/>
    </xf>
    <xf numFmtId="168" fontId="15" fillId="7" borderId="1" applyAlignment="1" pivotButton="0" quotePrefix="0" xfId="0">
      <alignment horizontal="right" vertical="center"/>
    </xf>
    <xf numFmtId="1" fontId="15" fillId="0" borderId="1" applyAlignment="1" pivotButton="0" quotePrefix="0" xfId="0">
      <alignment horizontal="center" vertical="center"/>
    </xf>
    <xf numFmtId="164" fontId="15" fillId="0" borderId="1" applyAlignment="1" pivotButton="0" quotePrefix="0" xfId="0">
      <alignment horizontal="right" vertical="center"/>
    </xf>
    <xf numFmtId="168" fontId="15" fillId="0" borderId="1" applyAlignment="1" pivotButton="0" quotePrefix="0" xfId="0">
      <alignment horizontal="right" vertical="center"/>
    </xf>
    <xf numFmtId="164" fontId="12" fillId="7" borderId="1" applyAlignment="1" applyProtection="1" pivotButton="0" quotePrefix="0" xfId="0">
      <alignment horizontal="right" vertical="center"/>
      <protection locked="1" hidden="1"/>
    </xf>
    <xf numFmtId="167" fontId="12" fillId="7" borderId="1" applyAlignment="1" applyProtection="1" pivotButton="0" quotePrefix="0" xfId="0">
      <alignment horizontal="right" vertical="center"/>
      <protection locked="1" hidden="1"/>
    </xf>
    <xf numFmtId="166" fontId="12" fillId="7" borderId="1" applyAlignment="1" applyProtection="1" pivotButton="0" quotePrefix="0" xfId="0">
      <alignment horizontal="right" vertical="center"/>
      <protection locked="1" hidden="1"/>
    </xf>
    <xf numFmtId="168" fontId="13" fillId="8" borderId="1" applyAlignment="1" applyProtection="1" pivotButton="0" quotePrefix="0" xfId="0">
      <alignment horizontal="right" vertical="center"/>
      <protection locked="1" hidden="1"/>
    </xf>
    <xf numFmtId="10" fontId="12" fillId="7" borderId="1" applyAlignment="1" applyProtection="1" pivotButton="0" quotePrefix="0" xfId="0">
      <alignment horizontal="right" vertical="center"/>
      <protection locked="1" hidden="1"/>
    </xf>
    <xf numFmtId="0" fontId="12" fillId="7" borderId="1" applyAlignment="1" applyProtection="1" pivotButton="0" quotePrefix="0" xfId="0">
      <alignment horizontal="center" vertical="center"/>
      <protection locked="1" hidden="1"/>
    </xf>
    <xf numFmtId="1" fontId="6" fillId="7" borderId="1" applyAlignment="1" applyProtection="1" pivotButton="0" quotePrefix="0" xfId="0">
      <alignment horizontal="center" vertical="center"/>
      <protection locked="1" hidden="1"/>
    </xf>
    <xf numFmtId="168" fontId="6" fillId="7" borderId="1" applyAlignment="1" applyProtection="1" pivotButton="0" quotePrefix="0" xfId="0">
      <alignment horizontal="right" vertical="center"/>
      <protection locked="1" hidden="1"/>
    </xf>
    <xf numFmtId="1" fontId="6" fillId="0" borderId="1" applyAlignment="1" applyProtection="1" pivotButton="0" quotePrefix="0" xfId="0">
      <alignment horizontal="center" vertical="center"/>
      <protection locked="1" hidden="1"/>
    </xf>
    <xf numFmtId="168" fontId="6" fillId="0" borderId="1" applyAlignment="1" applyProtection="1" pivotButton="0" quotePrefix="0" xfId="0">
      <alignment horizontal="right" vertical="center"/>
      <protection locked="1" hidden="1"/>
    </xf>
    <xf numFmtId="169" fontId="12" fillId="7" borderId="1" applyAlignment="1" applyProtection="1" pivotButton="0" quotePrefix="0" xfId="0">
      <alignment horizontal="right" vertical="center"/>
      <protection locked="1" hidden="1"/>
    </xf>
    <xf numFmtId="1" fontId="15" fillId="7" borderId="1" applyAlignment="1" applyProtection="1" pivotButton="0" quotePrefix="0" xfId="0">
      <alignment horizontal="center" vertical="center"/>
      <protection locked="1" hidden="1"/>
    </xf>
    <xf numFmtId="164" fontId="15" fillId="7" borderId="1" applyAlignment="1" applyProtection="1" pivotButton="0" quotePrefix="0" xfId="0">
      <alignment horizontal="right" vertical="center"/>
      <protection locked="1" hidden="1"/>
    </xf>
    <xf numFmtId="168" fontId="15" fillId="7" borderId="1" applyAlignment="1" applyProtection="1" pivotButton="0" quotePrefix="0" xfId="0">
      <alignment horizontal="right" vertical="center"/>
      <protection locked="1" hidden="1"/>
    </xf>
    <xf numFmtId="1" fontId="15" fillId="0" borderId="1" applyAlignment="1" applyProtection="1" pivotButton="0" quotePrefix="0" xfId="0">
      <alignment horizontal="center" vertical="center"/>
      <protection locked="1" hidden="1"/>
    </xf>
    <xf numFmtId="164" fontId="15" fillId="0" borderId="1" applyAlignment="1" applyProtection="1" pivotButton="0" quotePrefix="0" xfId="0">
      <alignment horizontal="right" vertical="center"/>
      <protection locked="1" hidden="1"/>
    </xf>
    <xf numFmtId="168" fontId="15" fillId="0" borderId="1" applyAlignment="1" applyProtection="1" pivotButton="0" quotePrefix="0" xfId="0">
      <alignment horizontal="right" vertical="center"/>
      <protection locked="1" hidden="1"/>
    </xf>
  </cellXfs>
  <cellStyles count="1">
    <cellStyle name="Normal" xfId="0" builtinId="0"/>
  </cellStyle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4C2"/>
      <rgbColor rgb="FFDCFCE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0E7FF"/>
      <rgbColor rgb="FFE2E8F0"/>
      <rgbColor rgb="FFF8FAF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993300"/>
      <rgbColor rgb="FF993366"/>
      <rgbColor rgb="FF1E3A8A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3"/>
  <sheetViews>
    <sheetView zoomScaleNormal="100" workbookViewId="0">
      <selection activeCell="A1" sqref="A1:H1"/>
    </sheetView>
  </sheetViews>
  <sheetFormatPr baseColWidth="8" defaultColWidth="8.7109375" defaultRowHeight="15"/>
  <cols>
    <col width="6" customWidth="1" min="1" max="1"/>
    <col width="26" customWidth="1" min="2" max="7"/>
    <col width="6" customWidth="1" min="8" max="8"/>
  </cols>
  <sheetData>
    <row r="1" ht="25.5" customHeight="1">
      <c r="A1" s="11" t="inlineStr">
        <is>
          <t>CalcGuru  |  calcguru.in</t>
        </is>
      </c>
    </row>
    <row r="2" ht="24" customHeight="1">
      <c r="A2" s="10" t="inlineStr">
        <is>
          <t>FD &amp; RD Maturity Calculator</t>
        </is>
      </c>
    </row>
    <row r="3" ht="18" customHeight="1">
      <c r="A3" s="9" t="inlineStr">
        <is>
          <t>Prepared by CA Tirumalesh Malla  |  https://calcguru.in</t>
        </is>
      </c>
    </row>
    <row r="4" ht="15.75" customHeight="1">
      <c r="A4" s="8" t="inlineStr">
        <is>
          <t>Fixed Deposit + Recurring Deposit — quarterly compounding (bank standard)</t>
        </is>
      </c>
    </row>
    <row r="5"/>
    <row r="6" ht="16.15" customHeight="1">
      <c r="B6" s="7" t="inlineStr">
        <is>
          <t>About this utility</t>
        </is>
      </c>
    </row>
    <row r="7" ht="15" customHeight="1">
      <c r="B7" s="6" t="inlineStr">
        <is>
          <t>Enter the principal / monthly deposit, interest rate and tenure on the respective sheet. The workbook computes maturity amount, interest earned and a year-wise growth table using quarterly compounding — the standard convention followed by Indian banks and Post Office for FDs and RDs.</t>
        </is>
      </c>
    </row>
    <row r="8"/>
    <row r="9"/>
    <row r="10"/>
    <row r="11"/>
    <row r="12" ht="16.15" customHeight="1">
      <c r="B12" s="7" t="inlineStr">
        <is>
          <t>Key Formulas Used</t>
        </is>
      </c>
    </row>
    <row r="13" ht="15" customHeight="1">
      <c r="B13" s="5" t="inlineStr">
        <is>
          <t>FD Maturity  =  P × (1 + R/4)^(4 × n)    where R = annual rate, n = years</t>
        </is>
      </c>
    </row>
    <row r="14" ht="15" customHeight="1">
      <c r="B14" s="5" t="inlineStr">
        <is>
          <t>RD Maturity  =  Σ  M × (1 + R/4)^((4 × n × (k/N)))     (quarterly compounding on each instalment)</t>
        </is>
      </c>
    </row>
    <row r="15"/>
    <row r="16" ht="21.75" customHeight="1">
      <c r="A16" s="4" t="inlineStr">
        <is>
          <t>Disclaimer</t>
        </is>
      </c>
    </row>
    <row r="17" ht="15" customHeight="1">
      <c r="B17" s="3" t="inlineStr">
        <is>
          <t>Banks may use slightly different conventions (day-count, compounding on calendar quarter vs deposit quarter, TDS deduction timing). Figures here are indicative and should be reconciled against your bank's FDR / passbook. TDS @10% (or 20% without PAN) applies if interest exceeds ₹40,000 (₹50,000 for senior citizens) in a financial year. TDS u/s 194A (banks): interest above Rs 50,000 per FY (Rs 1,00,000 for senior citizens) attracts 10% TDS from 01-Apr-2025; submit Form 15G/15H if income is below the taxable limit.</t>
        </is>
      </c>
    </row>
    <row r="18"/>
    <row r="19"/>
    <row r="20"/>
    <row r="21"/>
    <row r="22"/>
    <row r="23" ht="18" customHeight="1">
      <c r="A23" s="2" t="inlineStr">
        <is>
          <t>CalcGuru  |  Prepared by CA Tirumalesh Malla  |  calcguru.in    —    For indicative estimation only. Verify before filing or transacting.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1" formatRows="1" sort="1" password="BBBC"/>
  <mergeCells count="12">
    <mergeCell ref="A4:H4"/>
    <mergeCell ref="A3:H3"/>
    <mergeCell ref="B7:G10"/>
    <mergeCell ref="B14:G14"/>
    <mergeCell ref="A2:H2"/>
    <mergeCell ref="B17:G19"/>
    <mergeCell ref="A16:G16"/>
    <mergeCell ref="A23:G23"/>
    <mergeCell ref="B12:G12"/>
    <mergeCell ref="B13:G13"/>
    <mergeCell ref="A1:H1"/>
    <mergeCell ref="B6:G6"/>
  </mergeCells>
  <pageMargins left="0.75" right="0.75" top="1" bottom="1" header="0.511811023622047" footer="0.511811023622047"/>
  <pageSetup orientation="portrait" paperSize="9" horizontalDpi="300" verticalDpi="3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55"/>
  <sheetViews>
    <sheetView zoomScaleNormal="100" workbookViewId="0">
      <selection activeCell="L19" sqref="L19"/>
    </sheetView>
  </sheetViews>
  <sheetFormatPr baseColWidth="8" defaultColWidth="8.7109375" defaultRowHeight="15"/>
  <cols>
    <col width="4" customWidth="1" min="1" max="1"/>
    <col width="36" customWidth="1" min="2" max="2"/>
    <col width="22" customWidth="1" min="3" max="3"/>
    <col width="4" customWidth="1" min="4" max="4"/>
    <col width="14" customWidth="1" min="5" max="5"/>
    <col width="18" customWidth="1" min="6" max="8"/>
  </cols>
  <sheetData>
    <row r="1" ht="25.5" customHeight="1">
      <c r="A1" s="11" t="inlineStr">
        <is>
          <t>CalcGuru  |  calcguru.in</t>
        </is>
      </c>
    </row>
    <row r="2" ht="24" customHeight="1">
      <c r="A2" s="10" t="inlineStr">
        <is>
          <t>Fixed Deposit Maturity Calculator</t>
        </is>
      </c>
    </row>
    <row r="3" ht="18" customHeight="1">
      <c r="A3" s="9" t="inlineStr">
        <is>
          <t>Prepared by CA Tirumalesh Malla  |  https://calcguru.in</t>
        </is>
      </c>
    </row>
    <row r="4" ht="15.75" customHeight="1">
      <c r="A4" s="8" t="inlineStr">
        <is>
          <t>Quarterly compounding — enter values in yellow cells only</t>
        </is>
      </c>
    </row>
    <row r="5"/>
    <row r="6" ht="21.75" customHeight="1">
      <c r="A6" s="1" t="inlineStr">
        <is>
          <t>FD Inputs</t>
        </is>
      </c>
    </row>
    <row r="7">
      <c r="B7" s="12" t="inlineStr">
        <is>
          <t>Principal Amount (₹)</t>
        </is>
      </c>
      <c r="C7" s="13" t="n">
        <v>1000000</v>
      </c>
    </row>
    <row r="8">
      <c r="B8" s="12" t="inlineStr">
        <is>
          <t>Annual Interest Rate (%)</t>
        </is>
      </c>
      <c r="C8" s="14" t="n">
        <v>7.25</v>
      </c>
    </row>
    <row r="9">
      <c r="B9" s="12" t="inlineStr">
        <is>
          <t>Tenure (Years)</t>
        </is>
      </c>
      <c r="C9" s="15" t="n">
        <v>10</v>
      </c>
    </row>
    <row r="10">
      <c r="B10" s="12" t="inlineStr">
        <is>
          <t>Senior Citizen?  (Yes / No)</t>
        </is>
      </c>
      <c r="C10" s="16" t="inlineStr">
        <is>
          <t>No</t>
        </is>
      </c>
    </row>
    <row r="11">
      <c r="B11" s="12" t="inlineStr">
        <is>
          <t>TDS Threshold u/s 194A (Rs)</t>
        </is>
      </c>
      <c r="C11" s="36">
        <f>IF(UPPER(C10)="YES",100000,50000)</f>
        <v/>
      </c>
    </row>
    <row r="12"/>
    <row r="13" ht="21.75" customHeight="1">
      <c r="A13" s="1" t="inlineStr">
        <is>
          <t>Maturity Results</t>
        </is>
      </c>
    </row>
    <row r="14">
      <c r="B14" s="12" t="inlineStr">
        <is>
          <t>Quarterly Rate</t>
        </is>
      </c>
      <c r="C14" s="37">
        <f>C8/4/100</f>
        <v/>
      </c>
    </row>
    <row r="15">
      <c r="B15" s="12" t="inlineStr">
        <is>
          <t>Number of Compounding Periods</t>
        </is>
      </c>
      <c r="C15" s="38">
        <f>C9*4</f>
        <v/>
      </c>
    </row>
    <row r="16" ht="15.75" customHeight="1">
      <c r="B16" s="12" t="inlineStr">
        <is>
          <t>Maturity Amount (₹)</t>
        </is>
      </c>
      <c r="C16" s="39">
        <f>C7*(1+C14)^C15</f>
        <v/>
      </c>
    </row>
    <row r="17" ht="15.75" customHeight="1">
      <c r="B17" s="12" t="inlineStr">
        <is>
          <t>Interest Earned (₹)</t>
        </is>
      </c>
      <c r="C17" s="39">
        <f>C16-C7</f>
        <v/>
      </c>
    </row>
    <row r="18">
      <c r="B18" s="12" t="inlineStr">
        <is>
          <t>Annualised Yield (CAGR)</t>
        </is>
      </c>
      <c r="C18" s="40">
        <f>IF(C9&gt;0,(C16/C7)^(1/C9)-1,0)</f>
        <v/>
      </c>
    </row>
    <row r="19">
      <c r="B19" s="12" t="inlineStr">
        <is>
          <t>Is TDS applicable? (highest-interest year)</t>
        </is>
      </c>
      <c r="C19" s="41">
        <f>IF(MAX(G23:G52)&gt;C11,"Yes","No")</f>
        <v/>
      </c>
    </row>
    <row r="20"/>
    <row r="21" ht="21.75" customHeight="1">
      <c r="A21" s="1" t="inlineStr">
        <is>
          <t>Year-wise Growth Table</t>
        </is>
      </c>
    </row>
    <row r="22" ht="21.75" customHeight="1">
      <c r="E22" s="23" t="inlineStr">
        <is>
          <t>Year</t>
        </is>
      </c>
      <c r="F22" s="23" t="inlineStr">
        <is>
          <t>Opening (₹)</t>
        </is>
      </c>
      <c r="G22" s="23" t="inlineStr">
        <is>
          <t>Interest (₹)</t>
        </is>
      </c>
      <c r="H22" s="23" t="inlineStr">
        <is>
          <t>Closing (₹)</t>
        </is>
      </c>
    </row>
    <row r="23">
      <c r="E23" s="42">
        <f>IF(1&lt;=C9,1,"")</f>
        <v/>
      </c>
      <c r="F23" s="43">
        <f>IF(1&lt;=C9,C7,"")</f>
        <v/>
      </c>
      <c r="G23" s="43">
        <f>IF(1&lt;=C9,H23-F23,"")</f>
        <v/>
      </c>
      <c r="H23" s="43">
        <f>IF(1&lt;=C9,F23*(1+C14)^4,"")</f>
        <v/>
      </c>
    </row>
    <row r="24">
      <c r="E24" s="44">
        <f>IF(2&lt;=C9,2,"")</f>
        <v/>
      </c>
      <c r="F24" s="45">
        <f>IF(2&lt;=C9,H23,"")</f>
        <v/>
      </c>
      <c r="G24" s="45">
        <f>IF(2&lt;=C9,H24-F24,"")</f>
        <v/>
      </c>
      <c r="H24" s="45">
        <f>IF(2&lt;=C9,F24*(1+C14)^4,"")</f>
        <v/>
      </c>
    </row>
    <row r="25">
      <c r="E25" s="42">
        <f>IF(3&lt;=C9,3,"")</f>
        <v/>
      </c>
      <c r="F25" s="43">
        <f>IF(3&lt;=C9,H24,"")</f>
        <v/>
      </c>
      <c r="G25" s="43">
        <f>IF(3&lt;=C9,H25-F25,"")</f>
        <v/>
      </c>
      <c r="H25" s="43">
        <f>IF(3&lt;=C9,F25*(1+C14)^4,"")</f>
        <v/>
      </c>
    </row>
    <row r="26">
      <c r="E26" s="44">
        <f>IF(4&lt;=C9,4,"")</f>
        <v/>
      </c>
      <c r="F26" s="45">
        <f>IF(4&lt;=C9,H25,"")</f>
        <v/>
      </c>
      <c r="G26" s="45">
        <f>IF(4&lt;=C9,H26-F26,"")</f>
        <v/>
      </c>
      <c r="H26" s="45">
        <f>IF(4&lt;=C9,F26*(1+C14)^4,"")</f>
        <v/>
      </c>
    </row>
    <row r="27">
      <c r="E27" s="42">
        <f>IF(5&lt;=C9,5,"")</f>
        <v/>
      </c>
      <c r="F27" s="43">
        <f>IF(5&lt;=C9,H26,"")</f>
        <v/>
      </c>
      <c r="G27" s="43">
        <f>IF(5&lt;=C9,H27-F27,"")</f>
        <v/>
      </c>
      <c r="H27" s="43">
        <f>IF(5&lt;=C9,F27*(1+C14)^4,"")</f>
        <v/>
      </c>
    </row>
    <row r="28">
      <c r="E28" s="44">
        <f>IF(6&lt;=C9,6,"")</f>
        <v/>
      </c>
      <c r="F28" s="45">
        <f>IF(6&lt;=C9,H27,"")</f>
        <v/>
      </c>
      <c r="G28" s="45">
        <f>IF(6&lt;=C9,H28-F28,"")</f>
        <v/>
      </c>
      <c r="H28" s="45">
        <f>IF(6&lt;=C9,F28*(1+C14)^4,"")</f>
        <v/>
      </c>
    </row>
    <row r="29">
      <c r="E29" s="42">
        <f>IF(7&lt;=C9,7,"")</f>
        <v/>
      </c>
      <c r="F29" s="43">
        <f>IF(7&lt;=C9,H28,"")</f>
        <v/>
      </c>
      <c r="G29" s="43">
        <f>IF(7&lt;=C9,H29-F29,"")</f>
        <v/>
      </c>
      <c r="H29" s="43">
        <f>IF(7&lt;=C9,F29*(1+C14)^4,"")</f>
        <v/>
      </c>
    </row>
    <row r="30">
      <c r="E30" s="44">
        <f>IF(8&lt;=C9,8,"")</f>
        <v/>
      </c>
      <c r="F30" s="45">
        <f>IF(8&lt;=C9,H29,"")</f>
        <v/>
      </c>
      <c r="G30" s="45">
        <f>IF(8&lt;=C9,H30-F30,"")</f>
        <v/>
      </c>
      <c r="H30" s="45">
        <f>IF(8&lt;=C9,F30*(1+C14)^4,"")</f>
        <v/>
      </c>
    </row>
    <row r="31">
      <c r="E31" s="42">
        <f>IF(9&lt;=C9,9,"")</f>
        <v/>
      </c>
      <c r="F31" s="43">
        <f>IF(9&lt;=C9,H30,"")</f>
        <v/>
      </c>
      <c r="G31" s="43">
        <f>IF(9&lt;=C9,H31-F31,"")</f>
        <v/>
      </c>
      <c r="H31" s="43">
        <f>IF(9&lt;=C9,F31*(1+C14)^4,"")</f>
        <v/>
      </c>
    </row>
    <row r="32">
      <c r="E32" s="44">
        <f>IF(10&lt;=C9,10,"")</f>
        <v/>
      </c>
      <c r="F32" s="45">
        <f>IF(10&lt;=C9,H31,"")</f>
        <v/>
      </c>
      <c r="G32" s="45">
        <f>IF(10&lt;=C9,H32-F32,"")</f>
        <v/>
      </c>
      <c r="H32" s="45">
        <f>IF(10&lt;=C9,F32*(1+C14)^4,"")</f>
        <v/>
      </c>
    </row>
    <row r="33">
      <c r="E33" s="42">
        <f>IF(11&lt;=C9,11,"")</f>
        <v/>
      </c>
      <c r="F33" s="43">
        <f>IF(11&lt;=C9,H32,"")</f>
        <v/>
      </c>
      <c r="G33" s="43">
        <f>IF(11&lt;=C9,H33-F33,"")</f>
        <v/>
      </c>
      <c r="H33" s="43">
        <f>IF(11&lt;=C9,F33*(1+C14)^4,"")</f>
        <v/>
      </c>
    </row>
    <row r="34">
      <c r="E34" s="44">
        <f>IF(12&lt;=C9,12,"")</f>
        <v/>
      </c>
      <c r="F34" s="45">
        <f>IF(12&lt;=C9,H33,"")</f>
        <v/>
      </c>
      <c r="G34" s="45">
        <f>IF(12&lt;=C9,H34-F34,"")</f>
        <v/>
      </c>
      <c r="H34" s="45">
        <f>IF(12&lt;=C9,F34*(1+C14)^4,"")</f>
        <v/>
      </c>
    </row>
    <row r="35">
      <c r="E35" s="42">
        <f>IF(13&lt;=C9,13,"")</f>
        <v/>
      </c>
      <c r="F35" s="43">
        <f>IF(13&lt;=C9,H34,"")</f>
        <v/>
      </c>
      <c r="G35" s="43">
        <f>IF(13&lt;=C9,H35-F35,"")</f>
        <v/>
      </c>
      <c r="H35" s="43">
        <f>IF(13&lt;=C9,F35*(1+C14)^4,"")</f>
        <v/>
      </c>
    </row>
    <row r="36">
      <c r="E36" s="44">
        <f>IF(14&lt;=C9,14,"")</f>
        <v/>
      </c>
      <c r="F36" s="45">
        <f>IF(14&lt;=C9,H35,"")</f>
        <v/>
      </c>
      <c r="G36" s="45">
        <f>IF(14&lt;=C9,H36-F36,"")</f>
        <v/>
      </c>
      <c r="H36" s="45">
        <f>IF(14&lt;=C9,F36*(1+C14)^4,"")</f>
        <v/>
      </c>
    </row>
    <row r="37">
      <c r="E37" s="42">
        <f>IF(15&lt;=C9,15,"")</f>
        <v/>
      </c>
      <c r="F37" s="43">
        <f>IF(15&lt;=C9,H36,"")</f>
        <v/>
      </c>
      <c r="G37" s="43">
        <f>IF(15&lt;=C9,H37-F37,"")</f>
        <v/>
      </c>
      <c r="H37" s="43">
        <f>IF(15&lt;=C9,F37*(1+C14)^4,"")</f>
        <v/>
      </c>
    </row>
    <row r="38">
      <c r="E38" s="44">
        <f>IF(16&lt;=C9,16,"")</f>
        <v/>
      </c>
      <c r="F38" s="45">
        <f>IF(16&lt;=C9,H37,"")</f>
        <v/>
      </c>
      <c r="G38" s="45">
        <f>IF(16&lt;=C9,H38-F38,"")</f>
        <v/>
      </c>
      <c r="H38" s="45">
        <f>IF(16&lt;=C9,F38*(1+C14)^4,"")</f>
        <v/>
      </c>
    </row>
    <row r="39">
      <c r="E39" s="42">
        <f>IF(17&lt;=C9,17,"")</f>
        <v/>
      </c>
      <c r="F39" s="43">
        <f>IF(17&lt;=C9,H38,"")</f>
        <v/>
      </c>
      <c r="G39" s="43">
        <f>IF(17&lt;=C9,H39-F39,"")</f>
        <v/>
      </c>
      <c r="H39" s="43">
        <f>IF(17&lt;=C9,F39*(1+C14)^4,"")</f>
        <v/>
      </c>
    </row>
    <row r="40">
      <c r="E40" s="44">
        <f>IF(18&lt;=C9,18,"")</f>
        <v/>
      </c>
      <c r="F40" s="45">
        <f>IF(18&lt;=C9,H39,"")</f>
        <v/>
      </c>
      <c r="G40" s="45">
        <f>IF(18&lt;=C9,H40-F40,"")</f>
        <v/>
      </c>
      <c r="H40" s="45">
        <f>IF(18&lt;=C9,F40*(1+C14)^4,"")</f>
        <v/>
      </c>
    </row>
    <row r="41">
      <c r="E41" s="42">
        <f>IF(19&lt;=C9,19,"")</f>
        <v/>
      </c>
      <c r="F41" s="43">
        <f>IF(19&lt;=C9,H40,"")</f>
        <v/>
      </c>
      <c r="G41" s="43">
        <f>IF(19&lt;=C9,H41-F41,"")</f>
        <v/>
      </c>
      <c r="H41" s="43">
        <f>IF(19&lt;=C9,F41*(1+C14)^4,"")</f>
        <v/>
      </c>
    </row>
    <row r="42">
      <c r="E42" s="44">
        <f>IF(20&lt;=C9,20,"")</f>
        <v/>
      </c>
      <c r="F42" s="45">
        <f>IF(20&lt;=C9,H41,"")</f>
        <v/>
      </c>
      <c r="G42" s="45">
        <f>IF(20&lt;=C9,H42-F42,"")</f>
        <v/>
      </c>
      <c r="H42" s="45">
        <f>IF(20&lt;=C9,F42*(1+C14)^4,"")</f>
        <v/>
      </c>
    </row>
    <row r="43">
      <c r="E43" s="42">
        <f>IF(21&lt;=C9,21,"")</f>
        <v/>
      </c>
      <c r="F43" s="43">
        <f>IF(21&lt;=C9,H42,"")</f>
        <v/>
      </c>
      <c r="G43" s="43">
        <f>IF(21&lt;=C9,H43-F43,"")</f>
        <v/>
      </c>
      <c r="H43" s="43">
        <f>IF(21&lt;=C9,F43*(1+C14)^4,"")</f>
        <v/>
      </c>
    </row>
    <row r="44">
      <c r="E44" s="44">
        <f>IF(22&lt;=C9,22,"")</f>
        <v/>
      </c>
      <c r="F44" s="45">
        <f>IF(22&lt;=C9,H43,"")</f>
        <v/>
      </c>
      <c r="G44" s="45">
        <f>IF(22&lt;=C9,H44-F44,"")</f>
        <v/>
      </c>
      <c r="H44" s="45">
        <f>IF(22&lt;=C9,F44*(1+C14)^4,"")</f>
        <v/>
      </c>
    </row>
    <row r="45">
      <c r="E45" s="42">
        <f>IF(23&lt;=C9,23,"")</f>
        <v/>
      </c>
      <c r="F45" s="43">
        <f>IF(23&lt;=C9,H44,"")</f>
        <v/>
      </c>
      <c r="G45" s="43">
        <f>IF(23&lt;=C9,H45-F45,"")</f>
        <v/>
      </c>
      <c r="H45" s="43">
        <f>IF(23&lt;=C9,F45*(1+C14)^4,"")</f>
        <v/>
      </c>
    </row>
    <row r="46">
      <c r="E46" s="44">
        <f>IF(24&lt;=C9,24,"")</f>
        <v/>
      </c>
      <c r="F46" s="45">
        <f>IF(24&lt;=C9,H45,"")</f>
        <v/>
      </c>
      <c r="G46" s="45">
        <f>IF(24&lt;=C9,H46-F46,"")</f>
        <v/>
      </c>
      <c r="H46" s="45">
        <f>IF(24&lt;=C9,F46*(1+C14)^4,"")</f>
        <v/>
      </c>
    </row>
    <row r="47">
      <c r="E47" s="42">
        <f>IF(25&lt;=C9,25,"")</f>
        <v/>
      </c>
      <c r="F47" s="43">
        <f>IF(25&lt;=C9,H46,"")</f>
        <v/>
      </c>
      <c r="G47" s="43">
        <f>IF(25&lt;=C9,H47-F47,"")</f>
        <v/>
      </c>
      <c r="H47" s="43">
        <f>IF(25&lt;=C9,F47*(1+C14)^4,"")</f>
        <v/>
      </c>
    </row>
    <row r="48">
      <c r="E48" s="44">
        <f>IF(26&lt;=C9,26,"")</f>
        <v/>
      </c>
      <c r="F48" s="45">
        <f>IF(26&lt;=C9,H47,"")</f>
        <v/>
      </c>
      <c r="G48" s="45">
        <f>IF(26&lt;=C9,H48-F48,"")</f>
        <v/>
      </c>
      <c r="H48" s="45">
        <f>IF(26&lt;=C9,F48*(1+C14)^4,"")</f>
        <v/>
      </c>
    </row>
    <row r="49">
      <c r="E49" s="42">
        <f>IF(27&lt;=C9,27,"")</f>
        <v/>
      </c>
      <c r="F49" s="43">
        <f>IF(27&lt;=C9,H48,"")</f>
        <v/>
      </c>
      <c r="G49" s="43">
        <f>IF(27&lt;=C9,H49-F49,"")</f>
        <v/>
      </c>
      <c r="H49" s="43">
        <f>IF(27&lt;=C9,F49*(1+C14)^4,"")</f>
        <v/>
      </c>
    </row>
    <row r="50">
      <c r="E50" s="44">
        <f>IF(28&lt;=C9,28,"")</f>
        <v/>
      </c>
      <c r="F50" s="45">
        <f>IF(28&lt;=C9,H49,"")</f>
        <v/>
      </c>
      <c r="G50" s="45">
        <f>IF(28&lt;=C9,H50-F50,"")</f>
        <v/>
      </c>
      <c r="H50" s="45">
        <f>IF(28&lt;=C9,F50*(1+C14)^4,"")</f>
        <v/>
      </c>
    </row>
    <row r="51">
      <c r="E51" s="42">
        <f>IF(29&lt;=C9,29,"")</f>
        <v/>
      </c>
      <c r="F51" s="43">
        <f>IF(29&lt;=C9,H50,"")</f>
        <v/>
      </c>
      <c r="G51" s="43">
        <f>IF(29&lt;=C9,H51-F51,"")</f>
        <v/>
      </c>
      <c r="H51" s="43">
        <f>IF(29&lt;=C9,F51*(1+C14)^4,"")</f>
        <v/>
      </c>
    </row>
    <row r="52">
      <c r="E52" s="44">
        <f>IF(30&lt;=C9,30,"")</f>
        <v/>
      </c>
      <c r="F52" s="45">
        <f>IF(30&lt;=C9,H51,"")</f>
        <v/>
      </c>
      <c r="G52" s="45">
        <f>IF(30&lt;=C9,H52-F52,"")</f>
        <v/>
      </c>
      <c r="H52" s="45">
        <f>IF(30&lt;=C9,F52*(1+C14)^4,"")</f>
        <v/>
      </c>
    </row>
    <row r="53"/>
    <row r="54"/>
    <row r="55" ht="18" customHeight="1">
      <c r="A55" s="2" t="inlineStr">
        <is>
          <t>CalcGuru  |  Prepared by CA Tirumalesh Malla  |  calcguru.in    —    For indicative estimation only. Verify before filing or transacting.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1" formatRows="1" sort="1" password="BBBC"/>
  <mergeCells count="8">
    <mergeCell ref="A4:H4"/>
    <mergeCell ref="A3:H3"/>
    <mergeCell ref="A21:H21"/>
    <mergeCell ref="A55:H55"/>
    <mergeCell ref="A2:H2"/>
    <mergeCell ref="A13:H13"/>
    <mergeCell ref="A1:H1"/>
    <mergeCell ref="A6:H6"/>
  </mergeCells>
  <dataValidations count="1">
    <dataValidation sqref="C10" showDropDown="0" showInputMessage="0" showErrorMessage="1" allowBlank="0" errorTitle="Invalid Selection" error="Please select Yes or No" type="list">
      <formula1>"Yes,No"</formula1>
      <formula2>0</formula2>
    </dataValidation>
  </dataValidations>
  <pageMargins left="0.75" right="0.75" top="1" bottom="1" header="0.511811023622047" footer="0.511811023622047"/>
  <pageSetup orientation="portrait" paperSize="9" horizontalDpi="300" verticalDpi="300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43"/>
  <sheetViews>
    <sheetView tabSelected="1" zoomScaleNormal="100" workbookViewId="0">
      <pane xSplit="4" ySplit="20" topLeftCell="E21" activePane="bottomRight" state="frozen"/>
      <selection pane="topRight" activeCell="E1" sqref="E1"/>
      <selection pane="bottomLeft" activeCell="A21" sqref="A21"/>
      <selection pane="bottomRight" activeCell="C35" sqref="C35"/>
    </sheetView>
  </sheetViews>
  <sheetFormatPr baseColWidth="8" defaultColWidth="8.7109375" defaultRowHeight="15"/>
  <cols>
    <col width="4" customWidth="1" min="1" max="1"/>
    <col width="36" customWidth="1" min="2" max="2"/>
    <col width="22" customWidth="1" min="3" max="3"/>
    <col width="4" customWidth="1" min="4" max="4"/>
    <col width="14" customWidth="1" min="5" max="5"/>
    <col width="18" customWidth="1" min="6" max="8"/>
  </cols>
  <sheetData>
    <row r="1" ht="25.5" customHeight="1">
      <c r="A1" s="11" t="inlineStr">
        <is>
          <t>CalcGuru  |  calcguru.in</t>
        </is>
      </c>
    </row>
    <row r="2" ht="24" customHeight="1">
      <c r="A2" s="10" t="inlineStr">
        <is>
          <t>Recurring Deposit Maturity Calculator</t>
        </is>
      </c>
    </row>
    <row r="3" ht="18" customHeight="1">
      <c r="A3" s="9" t="inlineStr">
        <is>
          <t>Prepared by CA Tirumalesh Malla  |  https://calcguru.in</t>
        </is>
      </c>
    </row>
    <row r="4" ht="15.75" customHeight="1">
      <c r="A4" s="8" t="inlineStr">
        <is>
          <t>Monthly instalment compounded quarterly — bank/post-office convention</t>
        </is>
      </c>
    </row>
    <row r="5"/>
    <row r="6" ht="21.75" customHeight="1">
      <c r="A6" s="1" t="inlineStr">
        <is>
          <t>RD Inputs</t>
        </is>
      </c>
    </row>
    <row r="7">
      <c r="B7" s="12" t="inlineStr">
        <is>
          <t>Monthly Instalment (₹)</t>
        </is>
      </c>
      <c r="C7" s="13" t="n">
        <v>5000</v>
      </c>
    </row>
    <row r="8">
      <c r="B8" s="12" t="inlineStr">
        <is>
          <t>Annual Interest Rate (%)</t>
        </is>
      </c>
      <c r="C8" s="14" t="n">
        <v>7.25</v>
      </c>
    </row>
    <row r="9">
      <c r="B9" s="12" t="inlineStr">
        <is>
          <t>Tenure (Months)</t>
        </is>
      </c>
      <c r="C9" s="28" t="n">
        <v>60</v>
      </c>
    </row>
    <row r="10"/>
    <row r="11" ht="21.75" customHeight="1">
      <c r="A11" s="1" t="inlineStr">
        <is>
          <t>Maturity Results</t>
        </is>
      </c>
    </row>
    <row r="12">
      <c r="B12" s="12" t="inlineStr">
        <is>
          <t>Quarterly Rate</t>
        </is>
      </c>
      <c r="C12" s="37">
        <f>C8/4/100</f>
        <v/>
      </c>
    </row>
    <row r="13">
      <c r="B13" s="12" t="inlineStr">
        <is>
          <t>Monthly Compounding Factor (q = (1+R/4)^(1/3))</t>
        </is>
      </c>
      <c r="C13" s="46">
        <f>(1+C12)^(1/3)</f>
        <v/>
      </c>
    </row>
    <row r="14">
      <c r="B14" s="12" t="inlineStr">
        <is>
          <t>Total Deposited (₹)</t>
        </is>
      </c>
      <c r="C14" s="36">
        <f>C7*C9</f>
        <v/>
      </c>
    </row>
    <row r="15" ht="15.75" customHeight="1">
      <c r="B15" s="12" t="inlineStr">
        <is>
          <t>Maturity Amount (₹)</t>
        </is>
      </c>
      <c r="C15" s="39">
        <f>IFERROR(C7*C13*(C13^C9-1)/(C13-1),0)</f>
        <v/>
      </c>
    </row>
    <row r="16" ht="15.75" customHeight="1">
      <c r="B16" s="12" t="inlineStr">
        <is>
          <t>Interest Earned (₹)</t>
        </is>
      </c>
      <c r="C16" s="39">
        <f>C15-C14</f>
        <v/>
      </c>
    </row>
    <row r="17">
      <c r="B17" s="12" t="inlineStr">
        <is>
          <t>Annualised Yield</t>
        </is>
      </c>
      <c r="C17" s="40">
        <f>IF(C9&gt;0,(C15/C14)^(12/C9)-1,0)</f>
        <v/>
      </c>
    </row>
    <row r="18"/>
    <row r="19" ht="21.75" customHeight="1">
      <c r="A19" s="1" t="inlineStr">
        <is>
          <t>Month-wise Accumulation</t>
        </is>
      </c>
    </row>
    <row r="20" ht="21.75" customHeight="1">
      <c r="E20" s="23" t="inlineStr">
        <is>
          <t>Month #</t>
        </is>
      </c>
      <c r="F20" s="23" t="inlineStr">
        <is>
          <t>Deposit (₹)</t>
        </is>
      </c>
      <c r="G20" s="23" t="inlineStr">
        <is>
          <t>Interest (₹)</t>
        </is>
      </c>
      <c r="H20" s="23" t="inlineStr">
        <is>
          <t>Balance (₹)</t>
        </is>
      </c>
    </row>
    <row r="21">
      <c r="E21" s="47">
        <f>IF(1&lt;=C9,1,"")</f>
        <v/>
      </c>
      <c r="F21" s="48">
        <f>IF(1&lt;=C9,C7,"")</f>
        <v/>
      </c>
      <c r="G21" s="49">
        <f>IF(1&lt;=C9,F21*($C$13-1),"")</f>
        <v/>
      </c>
      <c r="H21" s="49">
        <f>IF(1&lt;=C9,F21*$C$13,"")</f>
        <v/>
      </c>
    </row>
    <row r="22">
      <c r="E22" s="50">
        <f>IF(2&lt;=C9,2,"")</f>
        <v/>
      </c>
      <c r="F22" s="51">
        <f>IF(2&lt;=C9,C7,"")</f>
        <v/>
      </c>
      <c r="G22" s="52">
        <f>IF(2&lt;=$C$9,(H21+F22)*($C$13-1),"")</f>
        <v/>
      </c>
      <c r="H22" s="52">
        <f>IF(2&lt;=$C$9,(H21+F22)*$C$13,"")</f>
        <v/>
      </c>
    </row>
    <row r="23">
      <c r="E23" s="47">
        <f>IF(3&lt;=C9,3,"")</f>
        <v/>
      </c>
      <c r="F23" s="48">
        <f>IF(3&lt;=C9,C7,"")</f>
        <v/>
      </c>
      <c r="G23" s="49">
        <f>IF(3&lt;=$C$9,(H22+F23)*($C$13-1),"")</f>
        <v/>
      </c>
      <c r="H23" s="49">
        <f>IF(3&lt;=$C$9,(H22+F23)*$C$13,"")</f>
        <v/>
      </c>
    </row>
    <row r="24">
      <c r="E24" s="50">
        <f>IF(4&lt;=C9,4,"")</f>
        <v/>
      </c>
      <c r="F24" s="51">
        <f>IF(4&lt;=C9,C7,"")</f>
        <v/>
      </c>
      <c r="G24" s="52">
        <f>IF(4&lt;=$C$9,(H23+F24)*($C$13-1),"")</f>
        <v/>
      </c>
      <c r="H24" s="52">
        <f>IF(4&lt;=$C$9,(H23+F24)*$C$13,"")</f>
        <v/>
      </c>
    </row>
    <row r="25">
      <c r="E25" s="47">
        <f>IF(5&lt;=C9,5,"")</f>
        <v/>
      </c>
      <c r="F25" s="48">
        <f>IF(5&lt;=C9,C7,"")</f>
        <v/>
      </c>
      <c r="G25" s="49">
        <f>IF(5&lt;=$C$9,(H24+F25)*($C$13-1),"")</f>
        <v/>
      </c>
      <c r="H25" s="49">
        <f>IF(5&lt;=$C$9,(H24+F25)*$C$13,"")</f>
        <v/>
      </c>
    </row>
    <row r="26">
      <c r="E26" s="50">
        <f>IF(6&lt;=C9,6,"")</f>
        <v/>
      </c>
      <c r="F26" s="51">
        <f>IF(6&lt;=C9,C7,"")</f>
        <v/>
      </c>
      <c r="G26" s="52">
        <f>IF(6&lt;=$C$9,(H25+F26)*($C$13-1),"")</f>
        <v/>
      </c>
      <c r="H26" s="52">
        <f>IF(6&lt;=$C$9,(H25+F26)*$C$13,"")</f>
        <v/>
      </c>
    </row>
    <row r="27">
      <c r="E27" s="47">
        <f>IF(7&lt;=C9,7,"")</f>
        <v/>
      </c>
      <c r="F27" s="48">
        <f>IF(7&lt;=C9,C7,"")</f>
        <v/>
      </c>
      <c r="G27" s="49">
        <f>IF(7&lt;=$C$9,(H26+F27)*($C$13-1),"")</f>
        <v/>
      </c>
      <c r="H27" s="49">
        <f>IF(7&lt;=$C$9,(H26+F27)*$C$13,"")</f>
        <v/>
      </c>
    </row>
    <row r="28">
      <c r="E28" s="50">
        <f>IF(8&lt;=C9,8,"")</f>
        <v/>
      </c>
      <c r="F28" s="51">
        <f>IF(8&lt;=C9,C7,"")</f>
        <v/>
      </c>
      <c r="G28" s="52">
        <f>IF(8&lt;=$C$9,(H27+F28)*($C$13-1),"")</f>
        <v/>
      </c>
      <c r="H28" s="52">
        <f>IF(8&lt;=$C$9,(H27+F28)*$C$13,"")</f>
        <v/>
      </c>
    </row>
    <row r="29">
      <c r="E29" s="47">
        <f>IF(9&lt;=C9,9,"")</f>
        <v/>
      </c>
      <c r="F29" s="48">
        <f>IF(9&lt;=C9,C7,"")</f>
        <v/>
      </c>
      <c r="G29" s="49">
        <f>IF(9&lt;=$C$9,(H28+F29)*($C$13-1),"")</f>
        <v/>
      </c>
      <c r="H29" s="49">
        <f>IF(9&lt;=$C$9,(H28+F29)*$C$13,"")</f>
        <v/>
      </c>
    </row>
    <row r="30">
      <c r="E30" s="50">
        <f>IF(10&lt;=C9,10,"")</f>
        <v/>
      </c>
      <c r="F30" s="51">
        <f>IF(10&lt;=C9,C7,"")</f>
        <v/>
      </c>
      <c r="G30" s="52">
        <f>IF(10&lt;=$C$9,(H29+F30)*($C$13-1),"")</f>
        <v/>
      </c>
      <c r="H30" s="52">
        <f>IF(10&lt;=$C$9,(H29+F30)*$C$13,"")</f>
        <v/>
      </c>
    </row>
    <row r="31">
      <c r="E31" s="47">
        <f>IF(11&lt;=C9,11,"")</f>
        <v/>
      </c>
      <c r="F31" s="48">
        <f>IF(11&lt;=C9,C7,"")</f>
        <v/>
      </c>
      <c r="G31" s="49">
        <f>IF(11&lt;=$C$9,(H30+F31)*($C$13-1),"")</f>
        <v/>
      </c>
      <c r="H31" s="49">
        <f>IF(11&lt;=$C$9,(H30+F31)*$C$13,"")</f>
        <v/>
      </c>
    </row>
    <row r="32">
      <c r="E32" s="50">
        <f>IF(12&lt;=C9,12,"")</f>
        <v/>
      </c>
      <c r="F32" s="51">
        <f>IF(12&lt;=C9,C7,"")</f>
        <v/>
      </c>
      <c r="G32" s="52">
        <f>IF(12&lt;=$C$9,(H31+F32)*($C$13-1),"")</f>
        <v/>
      </c>
      <c r="H32" s="52">
        <f>IF(12&lt;=$C$9,(H31+F32)*$C$13,"")</f>
        <v/>
      </c>
    </row>
    <row r="33">
      <c r="E33" s="47">
        <f>IF(13&lt;=C9,13,"")</f>
        <v/>
      </c>
      <c r="F33" s="48">
        <f>IF(13&lt;=C9,C7,"")</f>
        <v/>
      </c>
      <c r="G33" s="49">
        <f>IF(13&lt;=$C$9,(H32+F33)*($C$13-1),"")</f>
        <v/>
      </c>
      <c r="H33" s="49">
        <f>IF(13&lt;=$C$9,(H32+F33)*$C$13,"")</f>
        <v/>
      </c>
    </row>
    <row r="34">
      <c r="E34" s="50">
        <f>IF(14&lt;=C9,14,"")</f>
        <v/>
      </c>
      <c r="F34" s="51">
        <f>IF(14&lt;=C9,C7,"")</f>
        <v/>
      </c>
      <c r="G34" s="52">
        <f>IF(14&lt;=$C$9,(H33+F34)*($C$13-1),"")</f>
        <v/>
      </c>
      <c r="H34" s="52">
        <f>IF(14&lt;=$C$9,(H33+F34)*$C$13,"")</f>
        <v/>
      </c>
    </row>
    <row r="35">
      <c r="E35" s="47">
        <f>IF(15&lt;=C9,15,"")</f>
        <v/>
      </c>
      <c r="F35" s="48">
        <f>IF(15&lt;=C9,C7,"")</f>
        <v/>
      </c>
      <c r="G35" s="49">
        <f>IF(15&lt;=$C$9,(H34+F35)*($C$13-1),"")</f>
        <v/>
      </c>
      <c r="H35" s="49">
        <f>IF(15&lt;=$C$9,(H34+F35)*$C$13,"")</f>
        <v/>
      </c>
    </row>
    <row r="36">
      <c r="E36" s="50">
        <f>IF(16&lt;=C9,16,"")</f>
        <v/>
      </c>
      <c r="F36" s="51">
        <f>IF(16&lt;=C9,C7,"")</f>
        <v/>
      </c>
      <c r="G36" s="52">
        <f>IF(16&lt;=$C$9,(H35+F36)*($C$13-1),"")</f>
        <v/>
      </c>
      <c r="H36" s="52">
        <f>IF(16&lt;=$C$9,(H35+F36)*$C$13,"")</f>
        <v/>
      </c>
    </row>
    <row r="37">
      <c r="E37" s="47">
        <f>IF(17&lt;=C9,17,"")</f>
        <v/>
      </c>
      <c r="F37" s="48">
        <f>IF(17&lt;=C9,C7,"")</f>
        <v/>
      </c>
      <c r="G37" s="49">
        <f>IF(17&lt;=$C$9,(H36+F37)*($C$13-1),"")</f>
        <v/>
      </c>
      <c r="H37" s="49">
        <f>IF(17&lt;=$C$9,(H36+F37)*$C$13,"")</f>
        <v/>
      </c>
    </row>
    <row r="38">
      <c r="E38" s="50">
        <f>IF(18&lt;=C9,18,"")</f>
        <v/>
      </c>
      <c r="F38" s="51">
        <f>IF(18&lt;=C9,C7,"")</f>
        <v/>
      </c>
      <c r="G38" s="52">
        <f>IF(18&lt;=$C$9,(H37+F38)*($C$13-1),"")</f>
        <v/>
      </c>
      <c r="H38" s="52">
        <f>IF(18&lt;=$C$9,(H37+F38)*$C$13,"")</f>
        <v/>
      </c>
    </row>
    <row r="39">
      <c r="E39" s="47">
        <f>IF(19&lt;=C9,19,"")</f>
        <v/>
      </c>
      <c r="F39" s="48">
        <f>IF(19&lt;=C9,C7,"")</f>
        <v/>
      </c>
      <c r="G39" s="49">
        <f>IF(19&lt;=$C$9,(H38+F39)*($C$13-1),"")</f>
        <v/>
      </c>
      <c r="H39" s="49">
        <f>IF(19&lt;=$C$9,(H38+F39)*$C$13,"")</f>
        <v/>
      </c>
    </row>
    <row r="40">
      <c r="E40" s="50">
        <f>IF(20&lt;=C9,20,"")</f>
        <v/>
      </c>
      <c r="F40" s="51">
        <f>IF(20&lt;=C9,C7,"")</f>
        <v/>
      </c>
      <c r="G40" s="52">
        <f>IF(20&lt;=$C$9,(H39+F40)*($C$13-1),"")</f>
        <v/>
      </c>
      <c r="H40" s="52">
        <f>IF(20&lt;=$C$9,(H39+F40)*$C$13,"")</f>
        <v/>
      </c>
    </row>
    <row r="41">
      <c r="E41" s="47">
        <f>IF(21&lt;=C9,21,"")</f>
        <v/>
      </c>
      <c r="F41" s="48">
        <f>IF(21&lt;=C9,C7,"")</f>
        <v/>
      </c>
      <c r="G41" s="49">
        <f>IF(21&lt;=$C$9,(H40+F41)*($C$13-1),"")</f>
        <v/>
      </c>
      <c r="H41" s="49">
        <f>IF(21&lt;=$C$9,(H40+F41)*$C$13,"")</f>
        <v/>
      </c>
    </row>
    <row r="42">
      <c r="E42" s="50">
        <f>IF(22&lt;=C9,22,"")</f>
        <v/>
      </c>
      <c r="F42" s="51">
        <f>IF(22&lt;=C9,C7,"")</f>
        <v/>
      </c>
      <c r="G42" s="52">
        <f>IF(22&lt;=$C$9,(H41+F42)*($C$13-1),"")</f>
        <v/>
      </c>
      <c r="H42" s="52">
        <f>IF(22&lt;=$C$9,(H41+F42)*$C$13,"")</f>
        <v/>
      </c>
    </row>
    <row r="43">
      <c r="E43" s="47">
        <f>IF(23&lt;=C9,23,"")</f>
        <v/>
      </c>
      <c r="F43" s="48">
        <f>IF(23&lt;=C9,C7,"")</f>
        <v/>
      </c>
      <c r="G43" s="49">
        <f>IF(23&lt;=$C$9,(H42+F43)*($C$13-1),"")</f>
        <v/>
      </c>
      <c r="H43" s="49">
        <f>IF(23&lt;=$C$9,(H42+F43)*$C$13,"")</f>
        <v/>
      </c>
    </row>
    <row r="44">
      <c r="E44" s="50">
        <f>IF(24&lt;=C9,24,"")</f>
        <v/>
      </c>
      <c r="F44" s="51">
        <f>IF(24&lt;=C9,C7,"")</f>
        <v/>
      </c>
      <c r="G44" s="52">
        <f>IF(24&lt;=$C$9,(H43+F44)*($C$13-1),"")</f>
        <v/>
      </c>
      <c r="H44" s="52">
        <f>IF(24&lt;=$C$9,(H43+F44)*$C$13,"")</f>
        <v/>
      </c>
    </row>
    <row r="45">
      <c r="E45" s="47">
        <f>IF(25&lt;=C9,25,"")</f>
        <v/>
      </c>
      <c r="F45" s="48">
        <f>IF(25&lt;=C9,C7,"")</f>
        <v/>
      </c>
      <c r="G45" s="49">
        <f>IF(25&lt;=$C$9,(H44+F45)*($C$13-1),"")</f>
        <v/>
      </c>
      <c r="H45" s="49">
        <f>IF(25&lt;=$C$9,(H44+F45)*$C$13,"")</f>
        <v/>
      </c>
    </row>
    <row r="46">
      <c r="E46" s="50">
        <f>IF(26&lt;=C9,26,"")</f>
        <v/>
      </c>
      <c r="F46" s="51">
        <f>IF(26&lt;=C9,C7,"")</f>
        <v/>
      </c>
      <c r="G46" s="52">
        <f>IF(26&lt;=$C$9,(H45+F46)*($C$13-1),"")</f>
        <v/>
      </c>
      <c r="H46" s="52">
        <f>IF(26&lt;=$C$9,(H45+F46)*$C$13,"")</f>
        <v/>
      </c>
    </row>
    <row r="47">
      <c r="E47" s="47">
        <f>IF(27&lt;=C9,27,"")</f>
        <v/>
      </c>
      <c r="F47" s="48">
        <f>IF(27&lt;=C9,C7,"")</f>
        <v/>
      </c>
      <c r="G47" s="49">
        <f>IF(27&lt;=$C$9,(H46+F47)*($C$13-1),"")</f>
        <v/>
      </c>
      <c r="H47" s="49">
        <f>IF(27&lt;=$C$9,(H46+F47)*$C$13,"")</f>
        <v/>
      </c>
    </row>
    <row r="48">
      <c r="E48" s="50">
        <f>IF(28&lt;=C9,28,"")</f>
        <v/>
      </c>
      <c r="F48" s="51">
        <f>IF(28&lt;=C9,C7,"")</f>
        <v/>
      </c>
      <c r="G48" s="52">
        <f>IF(28&lt;=$C$9,(H47+F48)*($C$13-1),"")</f>
        <v/>
      </c>
      <c r="H48" s="52">
        <f>IF(28&lt;=$C$9,(H47+F48)*$C$13,"")</f>
        <v/>
      </c>
    </row>
    <row r="49">
      <c r="E49" s="47">
        <f>IF(29&lt;=C9,29,"")</f>
        <v/>
      </c>
      <c r="F49" s="48">
        <f>IF(29&lt;=C9,C7,"")</f>
        <v/>
      </c>
      <c r="G49" s="49">
        <f>IF(29&lt;=$C$9,(H48+F49)*($C$13-1),"")</f>
        <v/>
      </c>
      <c r="H49" s="49">
        <f>IF(29&lt;=$C$9,(H48+F49)*$C$13,"")</f>
        <v/>
      </c>
    </row>
    <row r="50">
      <c r="E50" s="50">
        <f>IF(30&lt;=C9,30,"")</f>
        <v/>
      </c>
      <c r="F50" s="51">
        <f>IF(30&lt;=C9,C7,"")</f>
        <v/>
      </c>
      <c r="G50" s="52">
        <f>IF(30&lt;=$C$9,(H49+F50)*($C$13-1),"")</f>
        <v/>
      </c>
      <c r="H50" s="52">
        <f>IF(30&lt;=$C$9,(H49+F50)*$C$13,"")</f>
        <v/>
      </c>
    </row>
    <row r="51">
      <c r="E51" s="47">
        <f>IF(31&lt;=C9,31,"")</f>
        <v/>
      </c>
      <c r="F51" s="48">
        <f>IF(31&lt;=C9,C7,"")</f>
        <v/>
      </c>
      <c r="G51" s="49">
        <f>IF(31&lt;=$C$9,(H50+F51)*($C$13-1),"")</f>
        <v/>
      </c>
      <c r="H51" s="49">
        <f>IF(31&lt;=$C$9,(H50+F51)*$C$13,"")</f>
        <v/>
      </c>
    </row>
    <row r="52">
      <c r="E52" s="50">
        <f>IF(32&lt;=C9,32,"")</f>
        <v/>
      </c>
      <c r="F52" s="51">
        <f>IF(32&lt;=C9,C7,"")</f>
        <v/>
      </c>
      <c r="G52" s="52">
        <f>IF(32&lt;=$C$9,(H51+F52)*($C$13-1),"")</f>
        <v/>
      </c>
      <c r="H52" s="52">
        <f>IF(32&lt;=$C$9,(H51+F52)*$C$13,"")</f>
        <v/>
      </c>
    </row>
    <row r="53">
      <c r="E53" s="47">
        <f>IF(33&lt;=C9,33,"")</f>
        <v/>
      </c>
      <c r="F53" s="48">
        <f>IF(33&lt;=C9,C7,"")</f>
        <v/>
      </c>
      <c r="G53" s="49">
        <f>IF(33&lt;=$C$9,(H52+F53)*($C$13-1),"")</f>
        <v/>
      </c>
      <c r="H53" s="49">
        <f>IF(33&lt;=$C$9,(H52+F53)*$C$13,"")</f>
        <v/>
      </c>
    </row>
    <row r="54">
      <c r="E54" s="50">
        <f>IF(34&lt;=C9,34,"")</f>
        <v/>
      </c>
      <c r="F54" s="51">
        <f>IF(34&lt;=C9,C7,"")</f>
        <v/>
      </c>
      <c r="G54" s="52">
        <f>IF(34&lt;=$C$9,(H53+F54)*($C$13-1),"")</f>
        <v/>
      </c>
      <c r="H54" s="52">
        <f>IF(34&lt;=$C$9,(H53+F54)*$C$13,"")</f>
        <v/>
      </c>
    </row>
    <row r="55">
      <c r="E55" s="47">
        <f>IF(35&lt;=C9,35,"")</f>
        <v/>
      </c>
      <c r="F55" s="48">
        <f>IF(35&lt;=C9,C7,"")</f>
        <v/>
      </c>
      <c r="G55" s="49">
        <f>IF(35&lt;=$C$9,(H54+F55)*($C$13-1),"")</f>
        <v/>
      </c>
      <c r="H55" s="49">
        <f>IF(35&lt;=$C$9,(H54+F55)*$C$13,"")</f>
        <v/>
      </c>
    </row>
    <row r="56">
      <c r="E56" s="50">
        <f>IF(36&lt;=C9,36,"")</f>
        <v/>
      </c>
      <c r="F56" s="51">
        <f>IF(36&lt;=C9,C7,"")</f>
        <v/>
      </c>
      <c r="G56" s="52">
        <f>IF(36&lt;=$C$9,(H55+F56)*($C$13-1),"")</f>
        <v/>
      </c>
      <c r="H56" s="52">
        <f>IF(36&lt;=$C$9,(H55+F56)*$C$13,"")</f>
        <v/>
      </c>
    </row>
    <row r="57">
      <c r="E57" s="47">
        <f>IF(37&lt;=C9,37,"")</f>
        <v/>
      </c>
      <c r="F57" s="48">
        <f>IF(37&lt;=C9,C7,"")</f>
        <v/>
      </c>
      <c r="G57" s="49">
        <f>IF(37&lt;=$C$9,(H56+F57)*($C$13-1),"")</f>
        <v/>
      </c>
      <c r="H57" s="49">
        <f>IF(37&lt;=$C$9,(H56+F57)*$C$13,"")</f>
        <v/>
      </c>
    </row>
    <row r="58">
      <c r="E58" s="50">
        <f>IF(38&lt;=C9,38,"")</f>
        <v/>
      </c>
      <c r="F58" s="51">
        <f>IF(38&lt;=C9,C7,"")</f>
        <v/>
      </c>
      <c r="G58" s="52">
        <f>IF(38&lt;=$C$9,(H57+F58)*($C$13-1),"")</f>
        <v/>
      </c>
      <c r="H58" s="52">
        <f>IF(38&lt;=$C$9,(H57+F58)*$C$13,"")</f>
        <v/>
      </c>
    </row>
    <row r="59">
      <c r="E59" s="47">
        <f>IF(39&lt;=C9,39,"")</f>
        <v/>
      </c>
      <c r="F59" s="48">
        <f>IF(39&lt;=C9,C7,"")</f>
        <v/>
      </c>
      <c r="G59" s="49">
        <f>IF(39&lt;=$C$9,(H58+F59)*($C$13-1),"")</f>
        <v/>
      </c>
      <c r="H59" s="49">
        <f>IF(39&lt;=$C$9,(H58+F59)*$C$13,"")</f>
        <v/>
      </c>
    </row>
    <row r="60">
      <c r="E60" s="50">
        <f>IF(40&lt;=C9,40,"")</f>
        <v/>
      </c>
      <c r="F60" s="51">
        <f>IF(40&lt;=C9,C7,"")</f>
        <v/>
      </c>
      <c r="G60" s="52">
        <f>IF(40&lt;=$C$9,(H59+F60)*($C$13-1),"")</f>
        <v/>
      </c>
      <c r="H60" s="52">
        <f>IF(40&lt;=$C$9,(H59+F60)*$C$13,"")</f>
        <v/>
      </c>
    </row>
    <row r="61">
      <c r="E61" s="47">
        <f>IF(41&lt;=C9,41,"")</f>
        <v/>
      </c>
      <c r="F61" s="48">
        <f>IF(41&lt;=C9,C7,"")</f>
        <v/>
      </c>
      <c r="G61" s="49">
        <f>IF(41&lt;=$C$9,(H60+F61)*($C$13-1),"")</f>
        <v/>
      </c>
      <c r="H61" s="49">
        <f>IF(41&lt;=$C$9,(H60+F61)*$C$13,"")</f>
        <v/>
      </c>
    </row>
    <row r="62">
      <c r="E62" s="50">
        <f>IF(42&lt;=C9,42,"")</f>
        <v/>
      </c>
      <c r="F62" s="51">
        <f>IF(42&lt;=C9,C7,"")</f>
        <v/>
      </c>
      <c r="G62" s="52">
        <f>IF(42&lt;=$C$9,(H61+F62)*($C$13-1),"")</f>
        <v/>
      </c>
      <c r="H62" s="52">
        <f>IF(42&lt;=$C$9,(H61+F62)*$C$13,"")</f>
        <v/>
      </c>
    </row>
    <row r="63">
      <c r="E63" s="47">
        <f>IF(43&lt;=C9,43,"")</f>
        <v/>
      </c>
      <c r="F63" s="48">
        <f>IF(43&lt;=C9,C7,"")</f>
        <v/>
      </c>
      <c r="G63" s="49">
        <f>IF(43&lt;=$C$9,(H62+F63)*($C$13-1),"")</f>
        <v/>
      </c>
      <c r="H63" s="49">
        <f>IF(43&lt;=$C$9,(H62+F63)*$C$13,"")</f>
        <v/>
      </c>
    </row>
    <row r="64">
      <c r="E64" s="50">
        <f>IF(44&lt;=C9,44,"")</f>
        <v/>
      </c>
      <c r="F64" s="51">
        <f>IF(44&lt;=C9,C7,"")</f>
        <v/>
      </c>
      <c r="G64" s="52">
        <f>IF(44&lt;=$C$9,(H63+F64)*($C$13-1),"")</f>
        <v/>
      </c>
      <c r="H64" s="52">
        <f>IF(44&lt;=$C$9,(H63+F64)*$C$13,"")</f>
        <v/>
      </c>
    </row>
    <row r="65">
      <c r="E65" s="47">
        <f>IF(45&lt;=C9,45,"")</f>
        <v/>
      </c>
      <c r="F65" s="48">
        <f>IF(45&lt;=C9,C7,"")</f>
        <v/>
      </c>
      <c r="G65" s="49">
        <f>IF(45&lt;=$C$9,(H64+F65)*($C$13-1),"")</f>
        <v/>
      </c>
      <c r="H65" s="49">
        <f>IF(45&lt;=$C$9,(H64+F65)*$C$13,"")</f>
        <v/>
      </c>
    </row>
    <row r="66">
      <c r="E66" s="50">
        <f>IF(46&lt;=C9,46,"")</f>
        <v/>
      </c>
      <c r="F66" s="51">
        <f>IF(46&lt;=C9,C7,"")</f>
        <v/>
      </c>
      <c r="G66" s="52">
        <f>IF(46&lt;=$C$9,(H65+F66)*($C$13-1),"")</f>
        <v/>
      </c>
      <c r="H66" s="52">
        <f>IF(46&lt;=$C$9,(H65+F66)*$C$13,"")</f>
        <v/>
      </c>
    </row>
    <row r="67">
      <c r="E67" s="47">
        <f>IF(47&lt;=C9,47,"")</f>
        <v/>
      </c>
      <c r="F67" s="48">
        <f>IF(47&lt;=C9,C7,"")</f>
        <v/>
      </c>
      <c r="G67" s="49">
        <f>IF(47&lt;=$C$9,(H66+F67)*($C$13-1),"")</f>
        <v/>
      </c>
      <c r="H67" s="49">
        <f>IF(47&lt;=$C$9,(H66+F67)*$C$13,"")</f>
        <v/>
      </c>
    </row>
    <row r="68">
      <c r="E68" s="50">
        <f>IF(48&lt;=C9,48,"")</f>
        <v/>
      </c>
      <c r="F68" s="51">
        <f>IF(48&lt;=C9,C7,"")</f>
        <v/>
      </c>
      <c r="G68" s="52">
        <f>IF(48&lt;=$C$9,(H67+F68)*($C$13-1),"")</f>
        <v/>
      </c>
      <c r="H68" s="52">
        <f>IF(48&lt;=$C$9,(H67+F68)*$C$13,"")</f>
        <v/>
      </c>
    </row>
    <row r="69">
      <c r="E69" s="47">
        <f>IF(49&lt;=C9,49,"")</f>
        <v/>
      </c>
      <c r="F69" s="48">
        <f>IF(49&lt;=C9,C7,"")</f>
        <v/>
      </c>
      <c r="G69" s="49">
        <f>IF(49&lt;=$C$9,(H68+F69)*($C$13-1),"")</f>
        <v/>
      </c>
      <c r="H69" s="49">
        <f>IF(49&lt;=$C$9,(H68+F69)*$C$13,"")</f>
        <v/>
      </c>
    </row>
    <row r="70">
      <c r="E70" s="50">
        <f>IF(50&lt;=C9,50,"")</f>
        <v/>
      </c>
      <c r="F70" s="51">
        <f>IF(50&lt;=C9,C7,"")</f>
        <v/>
      </c>
      <c r="G70" s="52">
        <f>IF(50&lt;=$C$9,(H69+F70)*($C$13-1),"")</f>
        <v/>
      </c>
      <c r="H70" s="52">
        <f>IF(50&lt;=$C$9,(H69+F70)*$C$13,"")</f>
        <v/>
      </c>
    </row>
    <row r="71">
      <c r="E71" s="47">
        <f>IF(51&lt;=C9,51,"")</f>
        <v/>
      </c>
      <c r="F71" s="48">
        <f>IF(51&lt;=C9,C7,"")</f>
        <v/>
      </c>
      <c r="G71" s="49">
        <f>IF(51&lt;=$C$9,(H70+F71)*($C$13-1),"")</f>
        <v/>
      </c>
      <c r="H71" s="49">
        <f>IF(51&lt;=$C$9,(H70+F71)*$C$13,"")</f>
        <v/>
      </c>
    </row>
    <row r="72">
      <c r="E72" s="50">
        <f>IF(52&lt;=C9,52,"")</f>
        <v/>
      </c>
      <c r="F72" s="51">
        <f>IF(52&lt;=C9,C7,"")</f>
        <v/>
      </c>
      <c r="G72" s="52">
        <f>IF(52&lt;=$C$9,(H71+F72)*($C$13-1),"")</f>
        <v/>
      </c>
      <c r="H72" s="52">
        <f>IF(52&lt;=$C$9,(H71+F72)*$C$13,"")</f>
        <v/>
      </c>
    </row>
    <row r="73">
      <c r="E73" s="47">
        <f>IF(53&lt;=C9,53,"")</f>
        <v/>
      </c>
      <c r="F73" s="48">
        <f>IF(53&lt;=C9,C7,"")</f>
        <v/>
      </c>
      <c r="G73" s="49">
        <f>IF(53&lt;=$C$9,(H72+F73)*($C$13-1),"")</f>
        <v/>
      </c>
      <c r="H73" s="49">
        <f>IF(53&lt;=$C$9,(H72+F73)*$C$13,"")</f>
        <v/>
      </c>
    </row>
    <row r="74">
      <c r="E74" s="50">
        <f>IF(54&lt;=C9,54,"")</f>
        <v/>
      </c>
      <c r="F74" s="51">
        <f>IF(54&lt;=C9,C7,"")</f>
        <v/>
      </c>
      <c r="G74" s="52">
        <f>IF(54&lt;=$C$9,(H73+F74)*($C$13-1),"")</f>
        <v/>
      </c>
      <c r="H74" s="52">
        <f>IF(54&lt;=$C$9,(H73+F74)*$C$13,"")</f>
        <v/>
      </c>
    </row>
    <row r="75">
      <c r="E75" s="47">
        <f>IF(55&lt;=C9,55,"")</f>
        <v/>
      </c>
      <c r="F75" s="48">
        <f>IF(55&lt;=C9,C7,"")</f>
        <v/>
      </c>
      <c r="G75" s="49">
        <f>IF(55&lt;=$C$9,(H74+F75)*($C$13-1),"")</f>
        <v/>
      </c>
      <c r="H75" s="49">
        <f>IF(55&lt;=$C$9,(H74+F75)*$C$13,"")</f>
        <v/>
      </c>
    </row>
    <row r="76">
      <c r="E76" s="50">
        <f>IF(56&lt;=C9,56,"")</f>
        <v/>
      </c>
      <c r="F76" s="51">
        <f>IF(56&lt;=C9,C7,"")</f>
        <v/>
      </c>
      <c r="G76" s="52">
        <f>IF(56&lt;=$C$9,(H75+F76)*($C$13-1),"")</f>
        <v/>
      </c>
      <c r="H76" s="52">
        <f>IF(56&lt;=$C$9,(H75+F76)*$C$13,"")</f>
        <v/>
      </c>
    </row>
    <row r="77">
      <c r="E77" s="47">
        <f>IF(57&lt;=C9,57,"")</f>
        <v/>
      </c>
      <c r="F77" s="48">
        <f>IF(57&lt;=C9,C7,"")</f>
        <v/>
      </c>
      <c r="G77" s="49">
        <f>IF(57&lt;=$C$9,(H76+F77)*($C$13-1),"")</f>
        <v/>
      </c>
      <c r="H77" s="49">
        <f>IF(57&lt;=$C$9,(H76+F77)*$C$13,"")</f>
        <v/>
      </c>
    </row>
    <row r="78">
      <c r="E78" s="50">
        <f>IF(58&lt;=C9,58,"")</f>
        <v/>
      </c>
      <c r="F78" s="51">
        <f>IF(58&lt;=C9,C7,"")</f>
        <v/>
      </c>
      <c r="G78" s="52">
        <f>IF(58&lt;=$C$9,(H77+F78)*($C$13-1),"")</f>
        <v/>
      </c>
      <c r="H78" s="52">
        <f>IF(58&lt;=$C$9,(H77+F78)*$C$13,"")</f>
        <v/>
      </c>
    </row>
    <row r="79">
      <c r="E79" s="47">
        <f>IF(59&lt;=C9,59,"")</f>
        <v/>
      </c>
      <c r="F79" s="48">
        <f>IF(59&lt;=C9,C7,"")</f>
        <v/>
      </c>
      <c r="G79" s="49">
        <f>IF(59&lt;=$C$9,(H78+F79)*($C$13-1),"")</f>
        <v/>
      </c>
      <c r="H79" s="49">
        <f>IF(59&lt;=$C$9,(H78+F79)*$C$13,"")</f>
        <v/>
      </c>
    </row>
    <row r="80">
      <c r="E80" s="50">
        <f>IF(60&lt;=C9,60,"")</f>
        <v/>
      </c>
      <c r="F80" s="51">
        <f>IF(60&lt;=C9,C7,"")</f>
        <v/>
      </c>
      <c r="G80" s="52">
        <f>IF(60&lt;=$C$9,(H79+F80)*($C$13-1),"")</f>
        <v/>
      </c>
      <c r="H80" s="52">
        <f>IF(60&lt;=$C$9,(H79+F80)*$C$13,"")</f>
        <v/>
      </c>
    </row>
    <row r="81">
      <c r="E81" s="47">
        <f>IF(61&lt;=C9,61,"")</f>
        <v/>
      </c>
      <c r="F81" s="48">
        <f>IF(61&lt;=C9,C7,"")</f>
        <v/>
      </c>
      <c r="G81" s="49">
        <f>IF(61&lt;=$C$9,(H80+F81)*($C$13-1),"")</f>
        <v/>
      </c>
      <c r="H81" s="49">
        <f>IF(61&lt;=$C$9,(H80+F81)*$C$13,"")</f>
        <v/>
      </c>
    </row>
    <row r="82">
      <c r="E82" s="50">
        <f>IF(62&lt;=C9,62,"")</f>
        <v/>
      </c>
      <c r="F82" s="51">
        <f>IF(62&lt;=C9,C7,"")</f>
        <v/>
      </c>
      <c r="G82" s="52">
        <f>IF(62&lt;=$C$9,(H81+F82)*($C$13-1),"")</f>
        <v/>
      </c>
      <c r="H82" s="52">
        <f>IF(62&lt;=$C$9,(H81+F82)*$C$13,"")</f>
        <v/>
      </c>
    </row>
    <row r="83">
      <c r="E83" s="47">
        <f>IF(63&lt;=C9,63,"")</f>
        <v/>
      </c>
      <c r="F83" s="48">
        <f>IF(63&lt;=C9,C7,"")</f>
        <v/>
      </c>
      <c r="G83" s="49">
        <f>IF(63&lt;=$C$9,(H82+F83)*($C$13-1),"")</f>
        <v/>
      </c>
      <c r="H83" s="49">
        <f>IF(63&lt;=$C$9,(H82+F83)*$C$13,"")</f>
        <v/>
      </c>
    </row>
    <row r="84">
      <c r="E84" s="50">
        <f>IF(64&lt;=C9,64,"")</f>
        <v/>
      </c>
      <c r="F84" s="51">
        <f>IF(64&lt;=C9,C7,"")</f>
        <v/>
      </c>
      <c r="G84" s="52">
        <f>IF(64&lt;=$C$9,(H83+F84)*($C$13-1),"")</f>
        <v/>
      </c>
      <c r="H84" s="52">
        <f>IF(64&lt;=$C$9,(H83+F84)*$C$13,"")</f>
        <v/>
      </c>
    </row>
    <row r="85">
      <c r="E85" s="47">
        <f>IF(65&lt;=C9,65,"")</f>
        <v/>
      </c>
      <c r="F85" s="48">
        <f>IF(65&lt;=C9,C7,"")</f>
        <v/>
      </c>
      <c r="G85" s="49">
        <f>IF(65&lt;=$C$9,(H84+F85)*($C$13-1),"")</f>
        <v/>
      </c>
      <c r="H85" s="49">
        <f>IF(65&lt;=$C$9,(H84+F85)*$C$13,"")</f>
        <v/>
      </c>
    </row>
    <row r="86">
      <c r="E86" s="50">
        <f>IF(66&lt;=C9,66,"")</f>
        <v/>
      </c>
      <c r="F86" s="51">
        <f>IF(66&lt;=C9,C7,"")</f>
        <v/>
      </c>
      <c r="G86" s="52">
        <f>IF(66&lt;=$C$9,(H85+F86)*($C$13-1),"")</f>
        <v/>
      </c>
      <c r="H86" s="52">
        <f>IF(66&lt;=$C$9,(H85+F86)*$C$13,"")</f>
        <v/>
      </c>
    </row>
    <row r="87">
      <c r="E87" s="47">
        <f>IF(67&lt;=C9,67,"")</f>
        <v/>
      </c>
      <c r="F87" s="48">
        <f>IF(67&lt;=C9,C7,"")</f>
        <v/>
      </c>
      <c r="G87" s="49">
        <f>IF(67&lt;=$C$9,(H86+F87)*($C$13-1),"")</f>
        <v/>
      </c>
      <c r="H87" s="49">
        <f>IF(67&lt;=$C$9,(H86+F87)*$C$13,"")</f>
        <v/>
      </c>
    </row>
    <row r="88">
      <c r="E88" s="50">
        <f>IF(68&lt;=C9,68,"")</f>
        <v/>
      </c>
      <c r="F88" s="51">
        <f>IF(68&lt;=C9,C7,"")</f>
        <v/>
      </c>
      <c r="G88" s="52">
        <f>IF(68&lt;=$C$9,(H87+F88)*($C$13-1),"")</f>
        <v/>
      </c>
      <c r="H88" s="52">
        <f>IF(68&lt;=$C$9,(H87+F88)*$C$13,"")</f>
        <v/>
      </c>
    </row>
    <row r="89">
      <c r="E89" s="47">
        <f>IF(69&lt;=C9,69,"")</f>
        <v/>
      </c>
      <c r="F89" s="48">
        <f>IF(69&lt;=C9,C7,"")</f>
        <v/>
      </c>
      <c r="G89" s="49">
        <f>IF(69&lt;=$C$9,(H88+F89)*($C$13-1),"")</f>
        <v/>
      </c>
      <c r="H89" s="49">
        <f>IF(69&lt;=$C$9,(H88+F89)*$C$13,"")</f>
        <v/>
      </c>
    </row>
    <row r="90">
      <c r="E90" s="50">
        <f>IF(70&lt;=C9,70,"")</f>
        <v/>
      </c>
      <c r="F90" s="51">
        <f>IF(70&lt;=C9,C7,"")</f>
        <v/>
      </c>
      <c r="G90" s="52">
        <f>IF(70&lt;=$C$9,(H89+F90)*($C$13-1),"")</f>
        <v/>
      </c>
      <c r="H90" s="52">
        <f>IF(70&lt;=$C$9,(H89+F90)*$C$13,"")</f>
        <v/>
      </c>
    </row>
    <row r="91">
      <c r="E91" s="47">
        <f>IF(71&lt;=C9,71,"")</f>
        <v/>
      </c>
      <c r="F91" s="48">
        <f>IF(71&lt;=C9,C7,"")</f>
        <v/>
      </c>
      <c r="G91" s="49">
        <f>IF(71&lt;=$C$9,(H90+F91)*($C$13-1),"")</f>
        <v/>
      </c>
      <c r="H91" s="49">
        <f>IF(71&lt;=$C$9,(H90+F91)*$C$13,"")</f>
        <v/>
      </c>
    </row>
    <row r="92">
      <c r="E92" s="50">
        <f>IF(72&lt;=C9,72,"")</f>
        <v/>
      </c>
      <c r="F92" s="51">
        <f>IF(72&lt;=C9,C7,"")</f>
        <v/>
      </c>
      <c r="G92" s="52">
        <f>IF(72&lt;=$C$9,(H91+F92)*($C$13-1),"")</f>
        <v/>
      </c>
      <c r="H92" s="52">
        <f>IF(72&lt;=$C$9,(H91+F92)*$C$13,"")</f>
        <v/>
      </c>
    </row>
    <row r="93">
      <c r="E93" s="47">
        <f>IF(73&lt;=C9,73,"")</f>
        <v/>
      </c>
      <c r="F93" s="48">
        <f>IF(73&lt;=C9,C7,"")</f>
        <v/>
      </c>
      <c r="G93" s="49">
        <f>IF(73&lt;=$C$9,(H92+F93)*($C$13-1),"")</f>
        <v/>
      </c>
      <c r="H93" s="49">
        <f>IF(73&lt;=$C$9,(H92+F93)*$C$13,"")</f>
        <v/>
      </c>
    </row>
    <row r="94">
      <c r="E94" s="50">
        <f>IF(74&lt;=C9,74,"")</f>
        <v/>
      </c>
      <c r="F94" s="51">
        <f>IF(74&lt;=C9,C7,"")</f>
        <v/>
      </c>
      <c r="G94" s="52">
        <f>IF(74&lt;=$C$9,(H93+F94)*($C$13-1),"")</f>
        <v/>
      </c>
      <c r="H94" s="52">
        <f>IF(74&lt;=$C$9,(H93+F94)*$C$13,"")</f>
        <v/>
      </c>
    </row>
    <row r="95">
      <c r="E95" s="47">
        <f>IF(75&lt;=C9,75,"")</f>
        <v/>
      </c>
      <c r="F95" s="48">
        <f>IF(75&lt;=C9,C7,"")</f>
        <v/>
      </c>
      <c r="G95" s="49">
        <f>IF(75&lt;=$C$9,(H94+F95)*($C$13-1),"")</f>
        <v/>
      </c>
      <c r="H95" s="49">
        <f>IF(75&lt;=$C$9,(H94+F95)*$C$13,"")</f>
        <v/>
      </c>
    </row>
    <row r="96">
      <c r="E96" s="50">
        <f>IF(76&lt;=C9,76,"")</f>
        <v/>
      </c>
      <c r="F96" s="51">
        <f>IF(76&lt;=C9,C7,"")</f>
        <v/>
      </c>
      <c r="G96" s="52">
        <f>IF(76&lt;=$C$9,(H95+F96)*($C$13-1),"")</f>
        <v/>
      </c>
      <c r="H96" s="52">
        <f>IF(76&lt;=$C$9,(H95+F96)*$C$13,"")</f>
        <v/>
      </c>
    </row>
    <row r="97">
      <c r="E97" s="47">
        <f>IF(77&lt;=C9,77,"")</f>
        <v/>
      </c>
      <c r="F97" s="48">
        <f>IF(77&lt;=C9,C7,"")</f>
        <v/>
      </c>
      <c r="G97" s="49">
        <f>IF(77&lt;=$C$9,(H96+F97)*($C$13-1),"")</f>
        <v/>
      </c>
      <c r="H97" s="49">
        <f>IF(77&lt;=$C$9,(H96+F97)*$C$13,"")</f>
        <v/>
      </c>
    </row>
    <row r="98">
      <c r="E98" s="50">
        <f>IF(78&lt;=C9,78,"")</f>
        <v/>
      </c>
      <c r="F98" s="51">
        <f>IF(78&lt;=C9,C7,"")</f>
        <v/>
      </c>
      <c r="G98" s="52">
        <f>IF(78&lt;=$C$9,(H97+F98)*($C$13-1),"")</f>
        <v/>
      </c>
      <c r="H98" s="52">
        <f>IF(78&lt;=$C$9,(H97+F98)*$C$13,"")</f>
        <v/>
      </c>
    </row>
    <row r="99">
      <c r="E99" s="47">
        <f>IF(79&lt;=C9,79,"")</f>
        <v/>
      </c>
      <c r="F99" s="48">
        <f>IF(79&lt;=C9,C7,"")</f>
        <v/>
      </c>
      <c r="G99" s="49">
        <f>IF(79&lt;=$C$9,(H98+F99)*($C$13-1),"")</f>
        <v/>
      </c>
      <c r="H99" s="49">
        <f>IF(79&lt;=$C$9,(H98+F99)*$C$13,"")</f>
        <v/>
      </c>
    </row>
    <row r="100">
      <c r="E100" s="50">
        <f>IF(80&lt;=C9,80,"")</f>
        <v/>
      </c>
      <c r="F100" s="51">
        <f>IF(80&lt;=C9,C7,"")</f>
        <v/>
      </c>
      <c r="G100" s="52">
        <f>IF(80&lt;=$C$9,(H99+F100)*($C$13-1),"")</f>
        <v/>
      </c>
      <c r="H100" s="52">
        <f>IF(80&lt;=$C$9,(H99+F100)*$C$13,"")</f>
        <v/>
      </c>
    </row>
    <row r="101">
      <c r="E101" s="47">
        <f>IF(81&lt;=C9,81,"")</f>
        <v/>
      </c>
      <c r="F101" s="48">
        <f>IF(81&lt;=C9,C7,"")</f>
        <v/>
      </c>
      <c r="G101" s="49">
        <f>IF(81&lt;=$C$9,(H100+F101)*($C$13-1),"")</f>
        <v/>
      </c>
      <c r="H101" s="49">
        <f>IF(81&lt;=$C$9,(H100+F101)*$C$13,"")</f>
        <v/>
      </c>
    </row>
    <row r="102">
      <c r="E102" s="50">
        <f>IF(82&lt;=C9,82,"")</f>
        <v/>
      </c>
      <c r="F102" s="51">
        <f>IF(82&lt;=C9,C7,"")</f>
        <v/>
      </c>
      <c r="G102" s="52">
        <f>IF(82&lt;=$C$9,(H101+F102)*($C$13-1),"")</f>
        <v/>
      </c>
      <c r="H102" s="52">
        <f>IF(82&lt;=$C$9,(H101+F102)*$C$13,"")</f>
        <v/>
      </c>
    </row>
    <row r="103">
      <c r="E103" s="47">
        <f>IF(83&lt;=C9,83,"")</f>
        <v/>
      </c>
      <c r="F103" s="48">
        <f>IF(83&lt;=C9,C7,"")</f>
        <v/>
      </c>
      <c r="G103" s="49">
        <f>IF(83&lt;=$C$9,(H102+F103)*($C$13-1),"")</f>
        <v/>
      </c>
      <c r="H103" s="49">
        <f>IF(83&lt;=$C$9,(H102+F103)*$C$13,"")</f>
        <v/>
      </c>
    </row>
    <row r="104">
      <c r="E104" s="50">
        <f>IF(84&lt;=C9,84,"")</f>
        <v/>
      </c>
      <c r="F104" s="51">
        <f>IF(84&lt;=C9,C7,"")</f>
        <v/>
      </c>
      <c r="G104" s="52">
        <f>IF(84&lt;=$C$9,(H103+F104)*($C$13-1),"")</f>
        <v/>
      </c>
      <c r="H104" s="52">
        <f>IF(84&lt;=$C$9,(H103+F104)*$C$13,"")</f>
        <v/>
      </c>
    </row>
    <row r="105">
      <c r="E105" s="47">
        <f>IF(85&lt;=C9,85,"")</f>
        <v/>
      </c>
      <c r="F105" s="48">
        <f>IF(85&lt;=C9,C7,"")</f>
        <v/>
      </c>
      <c r="G105" s="49">
        <f>IF(85&lt;=$C$9,(H104+F105)*($C$13-1),"")</f>
        <v/>
      </c>
      <c r="H105" s="49">
        <f>IF(85&lt;=$C$9,(H104+F105)*$C$13,"")</f>
        <v/>
      </c>
    </row>
    <row r="106">
      <c r="E106" s="50">
        <f>IF(86&lt;=C9,86,"")</f>
        <v/>
      </c>
      <c r="F106" s="51">
        <f>IF(86&lt;=C9,C7,"")</f>
        <v/>
      </c>
      <c r="G106" s="52">
        <f>IF(86&lt;=$C$9,(H105+F106)*($C$13-1),"")</f>
        <v/>
      </c>
      <c r="H106" s="52">
        <f>IF(86&lt;=$C$9,(H105+F106)*$C$13,"")</f>
        <v/>
      </c>
    </row>
    <row r="107">
      <c r="E107" s="47">
        <f>IF(87&lt;=C9,87,"")</f>
        <v/>
      </c>
      <c r="F107" s="48">
        <f>IF(87&lt;=C9,C7,"")</f>
        <v/>
      </c>
      <c r="G107" s="49">
        <f>IF(87&lt;=$C$9,(H106+F107)*($C$13-1),"")</f>
        <v/>
      </c>
      <c r="H107" s="49">
        <f>IF(87&lt;=$C$9,(H106+F107)*$C$13,"")</f>
        <v/>
      </c>
    </row>
    <row r="108">
      <c r="E108" s="50">
        <f>IF(88&lt;=C9,88,"")</f>
        <v/>
      </c>
      <c r="F108" s="51">
        <f>IF(88&lt;=C9,C7,"")</f>
        <v/>
      </c>
      <c r="G108" s="52">
        <f>IF(88&lt;=$C$9,(H107+F108)*($C$13-1),"")</f>
        <v/>
      </c>
      <c r="H108" s="52">
        <f>IF(88&lt;=$C$9,(H107+F108)*$C$13,"")</f>
        <v/>
      </c>
    </row>
    <row r="109">
      <c r="E109" s="47">
        <f>IF(89&lt;=C9,89,"")</f>
        <v/>
      </c>
      <c r="F109" s="48">
        <f>IF(89&lt;=C9,C7,"")</f>
        <v/>
      </c>
      <c r="G109" s="49">
        <f>IF(89&lt;=$C$9,(H108+F109)*($C$13-1),"")</f>
        <v/>
      </c>
      <c r="H109" s="49">
        <f>IF(89&lt;=$C$9,(H108+F109)*$C$13,"")</f>
        <v/>
      </c>
    </row>
    <row r="110">
      <c r="E110" s="50">
        <f>IF(90&lt;=C9,90,"")</f>
        <v/>
      </c>
      <c r="F110" s="51">
        <f>IF(90&lt;=C9,C7,"")</f>
        <v/>
      </c>
      <c r="G110" s="52">
        <f>IF(90&lt;=$C$9,(H109+F110)*($C$13-1),"")</f>
        <v/>
      </c>
      <c r="H110" s="52">
        <f>IF(90&lt;=$C$9,(H109+F110)*$C$13,"")</f>
        <v/>
      </c>
    </row>
    <row r="111">
      <c r="E111" s="47">
        <f>IF(91&lt;=C9,91,"")</f>
        <v/>
      </c>
      <c r="F111" s="48">
        <f>IF(91&lt;=C9,C7,"")</f>
        <v/>
      </c>
      <c r="G111" s="49">
        <f>IF(91&lt;=$C$9,(H110+F111)*($C$13-1),"")</f>
        <v/>
      </c>
      <c r="H111" s="49">
        <f>IF(91&lt;=$C$9,(H110+F111)*$C$13,"")</f>
        <v/>
      </c>
    </row>
    <row r="112">
      <c r="E112" s="50">
        <f>IF(92&lt;=C9,92,"")</f>
        <v/>
      </c>
      <c r="F112" s="51">
        <f>IF(92&lt;=C9,C7,"")</f>
        <v/>
      </c>
      <c r="G112" s="52">
        <f>IF(92&lt;=$C$9,(H111+F112)*($C$13-1),"")</f>
        <v/>
      </c>
      <c r="H112" s="52">
        <f>IF(92&lt;=$C$9,(H111+F112)*$C$13,"")</f>
        <v/>
      </c>
    </row>
    <row r="113">
      <c r="E113" s="47">
        <f>IF(93&lt;=C9,93,"")</f>
        <v/>
      </c>
      <c r="F113" s="48">
        <f>IF(93&lt;=C9,C7,"")</f>
        <v/>
      </c>
      <c r="G113" s="49">
        <f>IF(93&lt;=$C$9,(H112+F113)*($C$13-1),"")</f>
        <v/>
      </c>
      <c r="H113" s="49">
        <f>IF(93&lt;=$C$9,(H112+F113)*$C$13,"")</f>
        <v/>
      </c>
    </row>
    <row r="114">
      <c r="E114" s="50">
        <f>IF(94&lt;=C9,94,"")</f>
        <v/>
      </c>
      <c r="F114" s="51">
        <f>IF(94&lt;=C9,C7,"")</f>
        <v/>
      </c>
      <c r="G114" s="52">
        <f>IF(94&lt;=$C$9,(H113+F114)*($C$13-1),"")</f>
        <v/>
      </c>
      <c r="H114" s="52">
        <f>IF(94&lt;=$C$9,(H113+F114)*$C$13,"")</f>
        <v/>
      </c>
    </row>
    <row r="115">
      <c r="E115" s="47">
        <f>IF(95&lt;=C9,95,"")</f>
        <v/>
      </c>
      <c r="F115" s="48">
        <f>IF(95&lt;=C9,C7,"")</f>
        <v/>
      </c>
      <c r="G115" s="49">
        <f>IF(95&lt;=$C$9,(H114+F115)*($C$13-1),"")</f>
        <v/>
      </c>
      <c r="H115" s="49">
        <f>IF(95&lt;=$C$9,(H114+F115)*$C$13,"")</f>
        <v/>
      </c>
    </row>
    <row r="116">
      <c r="E116" s="50">
        <f>IF(96&lt;=C9,96,"")</f>
        <v/>
      </c>
      <c r="F116" s="51">
        <f>IF(96&lt;=C9,C7,"")</f>
        <v/>
      </c>
      <c r="G116" s="52">
        <f>IF(96&lt;=$C$9,(H115+F116)*($C$13-1),"")</f>
        <v/>
      </c>
      <c r="H116" s="52">
        <f>IF(96&lt;=$C$9,(H115+F116)*$C$13,"")</f>
        <v/>
      </c>
    </row>
    <row r="117">
      <c r="E117" s="47">
        <f>IF(97&lt;=C9,97,"")</f>
        <v/>
      </c>
      <c r="F117" s="48">
        <f>IF(97&lt;=C9,C7,"")</f>
        <v/>
      </c>
      <c r="G117" s="49">
        <f>IF(97&lt;=$C$9,(H116+F117)*($C$13-1),"")</f>
        <v/>
      </c>
      <c r="H117" s="49">
        <f>IF(97&lt;=$C$9,(H116+F117)*$C$13,"")</f>
        <v/>
      </c>
    </row>
    <row r="118">
      <c r="E118" s="50">
        <f>IF(98&lt;=C9,98,"")</f>
        <v/>
      </c>
      <c r="F118" s="51">
        <f>IF(98&lt;=C9,C7,"")</f>
        <v/>
      </c>
      <c r="G118" s="52">
        <f>IF(98&lt;=$C$9,(H117+F118)*($C$13-1),"")</f>
        <v/>
      </c>
      <c r="H118" s="52">
        <f>IF(98&lt;=$C$9,(H117+F118)*$C$13,"")</f>
        <v/>
      </c>
    </row>
    <row r="119">
      <c r="E119" s="47">
        <f>IF(99&lt;=C9,99,"")</f>
        <v/>
      </c>
      <c r="F119" s="48">
        <f>IF(99&lt;=C9,C7,"")</f>
        <v/>
      </c>
      <c r="G119" s="49">
        <f>IF(99&lt;=$C$9,(H118+F119)*($C$13-1),"")</f>
        <v/>
      </c>
      <c r="H119" s="49">
        <f>IF(99&lt;=$C$9,(H118+F119)*$C$13,"")</f>
        <v/>
      </c>
    </row>
    <row r="120">
      <c r="E120" s="50">
        <f>IF(100&lt;=C9,100,"")</f>
        <v/>
      </c>
      <c r="F120" s="51">
        <f>IF(100&lt;=C9,C7,"")</f>
        <v/>
      </c>
      <c r="G120" s="52">
        <f>IF(100&lt;=$C$9,(H119+F120)*($C$13-1),"")</f>
        <v/>
      </c>
      <c r="H120" s="52">
        <f>IF(100&lt;=$C$9,(H119+F120)*$C$13,"")</f>
        <v/>
      </c>
    </row>
    <row r="121">
      <c r="E121" s="47">
        <f>IF(101&lt;=C9,101,"")</f>
        <v/>
      </c>
      <c r="F121" s="48">
        <f>IF(101&lt;=C9,C7,"")</f>
        <v/>
      </c>
      <c r="G121" s="49">
        <f>IF(101&lt;=$C$9,(H120+F121)*($C$13-1),"")</f>
        <v/>
      </c>
      <c r="H121" s="49">
        <f>IF(101&lt;=$C$9,(H120+F121)*$C$13,"")</f>
        <v/>
      </c>
    </row>
    <row r="122">
      <c r="E122" s="50">
        <f>IF(102&lt;=C9,102,"")</f>
        <v/>
      </c>
      <c r="F122" s="51">
        <f>IF(102&lt;=C9,C7,"")</f>
        <v/>
      </c>
      <c r="G122" s="52">
        <f>IF(102&lt;=$C$9,(H121+F122)*($C$13-1),"")</f>
        <v/>
      </c>
      <c r="H122" s="52">
        <f>IF(102&lt;=$C$9,(H121+F122)*$C$13,"")</f>
        <v/>
      </c>
    </row>
    <row r="123">
      <c r="E123" s="47">
        <f>IF(103&lt;=C9,103,"")</f>
        <v/>
      </c>
      <c r="F123" s="48">
        <f>IF(103&lt;=C9,C7,"")</f>
        <v/>
      </c>
      <c r="G123" s="49">
        <f>IF(103&lt;=$C$9,(H122+F123)*($C$13-1),"")</f>
        <v/>
      </c>
      <c r="H123" s="49">
        <f>IF(103&lt;=$C$9,(H122+F123)*$C$13,"")</f>
        <v/>
      </c>
    </row>
    <row r="124">
      <c r="E124" s="50">
        <f>IF(104&lt;=C9,104,"")</f>
        <v/>
      </c>
      <c r="F124" s="51">
        <f>IF(104&lt;=C9,C7,"")</f>
        <v/>
      </c>
      <c r="G124" s="52">
        <f>IF(104&lt;=$C$9,(H123+F124)*($C$13-1),"")</f>
        <v/>
      </c>
      <c r="H124" s="52">
        <f>IF(104&lt;=$C$9,(H123+F124)*$C$13,"")</f>
        <v/>
      </c>
    </row>
    <row r="125">
      <c r="E125" s="47">
        <f>IF(105&lt;=C9,105,"")</f>
        <v/>
      </c>
      <c r="F125" s="48">
        <f>IF(105&lt;=C9,C7,"")</f>
        <v/>
      </c>
      <c r="G125" s="49">
        <f>IF(105&lt;=$C$9,(H124+F125)*($C$13-1),"")</f>
        <v/>
      </c>
      <c r="H125" s="49">
        <f>IF(105&lt;=$C$9,(H124+F125)*$C$13,"")</f>
        <v/>
      </c>
    </row>
    <row r="126">
      <c r="E126" s="50">
        <f>IF(106&lt;=C9,106,"")</f>
        <v/>
      </c>
      <c r="F126" s="51">
        <f>IF(106&lt;=C9,C7,"")</f>
        <v/>
      </c>
      <c r="G126" s="52">
        <f>IF(106&lt;=$C$9,(H125+F126)*($C$13-1),"")</f>
        <v/>
      </c>
      <c r="H126" s="52">
        <f>IF(106&lt;=$C$9,(H125+F126)*$C$13,"")</f>
        <v/>
      </c>
    </row>
    <row r="127">
      <c r="E127" s="47">
        <f>IF(107&lt;=C9,107,"")</f>
        <v/>
      </c>
      <c r="F127" s="48">
        <f>IF(107&lt;=C9,C7,"")</f>
        <v/>
      </c>
      <c r="G127" s="49">
        <f>IF(107&lt;=$C$9,(H126+F127)*($C$13-1),"")</f>
        <v/>
      </c>
      <c r="H127" s="49">
        <f>IF(107&lt;=$C$9,(H126+F127)*$C$13,"")</f>
        <v/>
      </c>
    </row>
    <row r="128">
      <c r="E128" s="50">
        <f>IF(108&lt;=C9,108,"")</f>
        <v/>
      </c>
      <c r="F128" s="51">
        <f>IF(108&lt;=C9,C7,"")</f>
        <v/>
      </c>
      <c r="G128" s="52">
        <f>IF(108&lt;=$C$9,(H127+F128)*($C$13-1),"")</f>
        <v/>
      </c>
      <c r="H128" s="52">
        <f>IF(108&lt;=$C$9,(H127+F128)*$C$13,"")</f>
        <v/>
      </c>
    </row>
    <row r="129">
      <c r="E129" s="47">
        <f>IF(109&lt;=C9,109,"")</f>
        <v/>
      </c>
      <c r="F129" s="48">
        <f>IF(109&lt;=C9,C7,"")</f>
        <v/>
      </c>
      <c r="G129" s="49">
        <f>IF(109&lt;=$C$9,(H128+F129)*($C$13-1),"")</f>
        <v/>
      </c>
      <c r="H129" s="49">
        <f>IF(109&lt;=$C$9,(H128+F129)*$C$13,"")</f>
        <v/>
      </c>
    </row>
    <row r="130">
      <c r="E130" s="50">
        <f>IF(110&lt;=C9,110,"")</f>
        <v/>
      </c>
      <c r="F130" s="51">
        <f>IF(110&lt;=C9,C7,"")</f>
        <v/>
      </c>
      <c r="G130" s="52">
        <f>IF(110&lt;=$C$9,(H129+F130)*($C$13-1),"")</f>
        <v/>
      </c>
      <c r="H130" s="52">
        <f>IF(110&lt;=$C$9,(H129+F130)*$C$13,"")</f>
        <v/>
      </c>
    </row>
    <row r="131">
      <c r="E131" s="47">
        <f>IF(111&lt;=C9,111,"")</f>
        <v/>
      </c>
      <c r="F131" s="48">
        <f>IF(111&lt;=C9,C7,"")</f>
        <v/>
      </c>
      <c r="G131" s="49">
        <f>IF(111&lt;=$C$9,(H130+F131)*($C$13-1),"")</f>
        <v/>
      </c>
      <c r="H131" s="49">
        <f>IF(111&lt;=$C$9,(H130+F131)*$C$13,"")</f>
        <v/>
      </c>
    </row>
    <row r="132">
      <c r="E132" s="50">
        <f>IF(112&lt;=C9,112,"")</f>
        <v/>
      </c>
      <c r="F132" s="51">
        <f>IF(112&lt;=C9,C7,"")</f>
        <v/>
      </c>
      <c r="G132" s="52">
        <f>IF(112&lt;=$C$9,(H131+F132)*($C$13-1),"")</f>
        <v/>
      </c>
      <c r="H132" s="52">
        <f>IF(112&lt;=$C$9,(H131+F132)*$C$13,"")</f>
        <v/>
      </c>
    </row>
    <row r="133">
      <c r="E133" s="47">
        <f>IF(113&lt;=C9,113,"")</f>
        <v/>
      </c>
      <c r="F133" s="48">
        <f>IF(113&lt;=C9,C7,"")</f>
        <v/>
      </c>
      <c r="G133" s="49">
        <f>IF(113&lt;=$C$9,(H132+F133)*($C$13-1),"")</f>
        <v/>
      </c>
      <c r="H133" s="49">
        <f>IF(113&lt;=$C$9,(H132+F133)*$C$13,"")</f>
        <v/>
      </c>
    </row>
    <row r="134">
      <c r="E134" s="50">
        <f>IF(114&lt;=C9,114,"")</f>
        <v/>
      </c>
      <c r="F134" s="51">
        <f>IF(114&lt;=C9,C7,"")</f>
        <v/>
      </c>
      <c r="G134" s="52">
        <f>IF(114&lt;=$C$9,(H133+F134)*($C$13-1),"")</f>
        <v/>
      </c>
      <c r="H134" s="52">
        <f>IF(114&lt;=$C$9,(H133+F134)*$C$13,"")</f>
        <v/>
      </c>
    </row>
    <row r="135">
      <c r="E135" s="47">
        <f>IF(115&lt;=C9,115,"")</f>
        <v/>
      </c>
      <c r="F135" s="48">
        <f>IF(115&lt;=C9,C7,"")</f>
        <v/>
      </c>
      <c r="G135" s="49">
        <f>IF(115&lt;=$C$9,(H134+F135)*($C$13-1),"")</f>
        <v/>
      </c>
      <c r="H135" s="49">
        <f>IF(115&lt;=$C$9,(H134+F135)*$C$13,"")</f>
        <v/>
      </c>
    </row>
    <row r="136">
      <c r="E136" s="50">
        <f>IF(116&lt;=C9,116,"")</f>
        <v/>
      </c>
      <c r="F136" s="51">
        <f>IF(116&lt;=C9,C7,"")</f>
        <v/>
      </c>
      <c r="G136" s="52">
        <f>IF(116&lt;=$C$9,(H135+F136)*($C$13-1),"")</f>
        <v/>
      </c>
      <c r="H136" s="52">
        <f>IF(116&lt;=$C$9,(H135+F136)*$C$13,"")</f>
        <v/>
      </c>
    </row>
    <row r="137">
      <c r="E137" s="47">
        <f>IF(117&lt;=C9,117,"")</f>
        <v/>
      </c>
      <c r="F137" s="48">
        <f>IF(117&lt;=C9,C7,"")</f>
        <v/>
      </c>
      <c r="G137" s="49">
        <f>IF(117&lt;=$C$9,(H136+F137)*($C$13-1),"")</f>
        <v/>
      </c>
      <c r="H137" s="49">
        <f>IF(117&lt;=$C$9,(H136+F137)*$C$13,"")</f>
        <v/>
      </c>
    </row>
    <row r="138">
      <c r="E138" s="50">
        <f>IF(118&lt;=C9,118,"")</f>
        <v/>
      </c>
      <c r="F138" s="51">
        <f>IF(118&lt;=C9,C7,"")</f>
        <v/>
      </c>
      <c r="G138" s="52">
        <f>IF(118&lt;=$C$9,(H137+F138)*($C$13-1),"")</f>
        <v/>
      </c>
      <c r="H138" s="52">
        <f>IF(118&lt;=$C$9,(H137+F138)*$C$13,"")</f>
        <v/>
      </c>
    </row>
    <row r="139">
      <c r="E139" s="47">
        <f>IF(119&lt;=C9,119,"")</f>
        <v/>
      </c>
      <c r="F139" s="48">
        <f>IF(119&lt;=C9,C7,"")</f>
        <v/>
      </c>
      <c r="G139" s="49">
        <f>IF(119&lt;=$C$9,(H138+F139)*($C$13-1),"")</f>
        <v/>
      </c>
      <c r="H139" s="49">
        <f>IF(119&lt;=$C$9,(H138+F139)*$C$13,"")</f>
        <v/>
      </c>
    </row>
    <row r="140">
      <c r="E140" s="50">
        <f>IF(120&lt;=C9,120,"")</f>
        <v/>
      </c>
      <c r="F140" s="51">
        <f>IF(120&lt;=C9,C7,"")</f>
        <v/>
      </c>
      <c r="G140" s="52">
        <f>IF(120&lt;=$C$9,(H139+F140)*($C$13-1),"")</f>
        <v/>
      </c>
      <c r="H140" s="52">
        <f>IF(120&lt;=$C$9,(H139+F140)*$C$13,"")</f>
        <v/>
      </c>
    </row>
    <row r="141"/>
    <row r="142"/>
    <row r="143" ht="18" customHeight="1">
      <c r="A143" s="2" t="inlineStr">
        <is>
          <t>CalcGuru  |  Prepared by CA Tirumalesh Malla  |  calcguru.in    —    For indicative estimation only. Verify before filing or transacting.</t>
        </is>
      </c>
    </row>
  </sheetData>
  <sheetProtection selectLockedCells="0" selectUnlockedCells="0" sheet="1" objects="1" insertRows="1" insertHyperlinks="1" autoFilter="0" scenarios="1" formatColumns="1" deleteColumns="1" insertColumns="1" pivotTables="1" deleteRows="1" formatCells="1" formatRows="1" sort="1" password="BBBC"/>
  <mergeCells count="8">
    <mergeCell ref="A143:H143"/>
    <mergeCell ref="A4:H4"/>
    <mergeCell ref="A3:H3"/>
    <mergeCell ref="A2:H2"/>
    <mergeCell ref="A19:H19"/>
    <mergeCell ref="A11:H11"/>
    <mergeCell ref="A1:H1"/>
    <mergeCell ref="A6:H6"/>
  </mergeCells>
  <pageMargins left="0.75" right="0.75" top="1" bottom="1" header="0.511811023622047" footer="0.511811023622047"/>
  <pageSetup orientation="portrait" paperSize="9" horizontalDpi="300" verticalDpi="30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2026-04-20T07:09:16Z</dcterms:created>
  <dcterms:modified xmlns:dcterms="http://purl.org/dc/terms/" xmlns:xsi="http://www.w3.org/2001/XMLSchema-instance" xsi:type="dcterms:W3CDTF">2026-07-10T17:01:26Z</dcterms:modified>
  <cp:lastModifiedBy>Tirumalesh Malla</cp:lastModifiedBy>
  <cp:revision>0</cp:revision>
</cp:coreProperties>
</file>