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20" windowWidth="29040" windowHeight="15840" tabRatio="500" firstSheet="0" activeTab="1" autoFilterDateGrouping="1"/>
  </bookViews>
  <sheets>
    <sheet xmlns:r="http://schemas.openxmlformats.org/officeDocument/2006/relationships" name="Cover" sheetId="1" state="visible" r:id="rId1"/>
    <sheet xmlns:r="http://schemas.openxmlformats.org/officeDocument/2006/relationships" name="Calculator" sheetId="2" state="visible" r:id="rId2"/>
    <sheet xmlns:r="http://schemas.openxmlformats.org/officeDocument/2006/relationships" name="Amortisation Schedule" sheetId="3" state="visible" r:id="rId3"/>
    <sheet xmlns:r="http://schemas.openxmlformats.org/officeDocument/2006/relationships" name="Yearly Summary" sheetId="4" state="visible" r:id="rId4"/>
  </sheets>
  <definedNames/>
  <calcPr calcId="191029" fullCalcOnLoad="1" iterateDelta="0.0001"/>
</workbook>
</file>

<file path=xl/styles.xml><?xml version="1.0" encoding="utf-8"?>
<styleSheet xmlns="http://schemas.openxmlformats.org/spreadsheetml/2006/main">
  <numFmts count="8">
    <numFmt numFmtId="164" formatCode="\₹#,##0"/>
    <numFmt numFmtId="165" formatCode="0.0&quot; yrs&quot;"/>
    <numFmt numFmtId="166" formatCode="0.00\%"/>
    <numFmt numFmtId="167" formatCode="0.00\x"/>
    <numFmt numFmtId="168" formatCode="mmm\-yyyy"/>
    <numFmt numFmtId="169" formatCode="0.000000%"/>
    <numFmt numFmtId="170" formatCode="\₹#,##0.00"/>
    <numFmt numFmtId="171" formatCode="0.0%"/>
  </numFmts>
  <fonts count="15">
    <font>
      <name val="Calibri"/>
      <charset val="1"/>
      <family val="2"/>
      <color theme="1"/>
      <sz val="11"/>
    </font>
    <font>
      <name val="Calibri"/>
      <charset val="1"/>
      <b val="1"/>
      <color rgb="FFFFFFFF"/>
      <sz val="14"/>
    </font>
    <font>
      <name val="Calibri"/>
      <charset val="1"/>
      <b val="1"/>
      <color rgb="FF1E3A8A"/>
      <sz val="16"/>
    </font>
    <font>
      <name val="Calibri"/>
      <charset val="1"/>
      <i val="1"/>
      <color rgb="FF64748B"/>
      <sz val="10"/>
    </font>
    <font>
      <name val="Calibri"/>
      <charset val="1"/>
      <i val="1"/>
      <color rgb="FFF97316"/>
      <sz val="10"/>
    </font>
    <font>
      <name val="Calibri"/>
      <charset val="1"/>
      <b val="1"/>
      <color rgb="FF1E3A8A"/>
      <sz val="13"/>
    </font>
    <font>
      <name val="Calibri"/>
      <charset val="1"/>
      <color rgb="FF000000"/>
      <sz val="11"/>
    </font>
    <font>
      <name val="Calibri"/>
      <charset val="1"/>
      <sz val="11"/>
    </font>
    <font>
      <name val="Calibri"/>
      <charset val="1"/>
      <b val="1"/>
      <color rgb="FFFFFFFF"/>
      <sz val="12"/>
    </font>
    <font>
      <name val="Calibri"/>
      <charset val="1"/>
      <i val="1"/>
      <color rgb="FF64748B"/>
      <sz val="9"/>
    </font>
    <font>
      <name val="Calibri"/>
      <charset val="1"/>
      <b val="1"/>
      <color rgb="FF000000"/>
      <sz val="11"/>
    </font>
    <font>
      <name val="Calibri"/>
      <charset val="1"/>
      <b val="1"/>
      <color rgb="FF0000FF"/>
      <sz val="11"/>
    </font>
    <font>
      <name val="Calibri"/>
      <charset val="1"/>
      <b val="1"/>
      <color rgb="FF1E3A8A"/>
      <sz val="12"/>
    </font>
    <font>
      <name val="Calibri"/>
      <charset val="1"/>
      <b val="1"/>
      <color rgb="FFFFFFFF"/>
      <sz val="11"/>
    </font>
    <font>
      <name val="Calibri"/>
      <charset val="1"/>
      <sz val="10"/>
    </font>
  </fonts>
  <fills count="9">
    <fill>
      <patternFill/>
    </fill>
    <fill>
      <patternFill patternType="gray125"/>
    </fill>
    <fill>
      <patternFill patternType="solid">
        <fgColor rgb="FF1E3A8A"/>
        <bgColor rgb="FF003366"/>
      </patternFill>
    </fill>
    <fill>
      <patternFill patternType="solid">
        <fgColor rgb="FFE0E7FF"/>
        <bgColor rgb="FFE2E8F0"/>
      </patternFill>
    </fill>
    <fill>
      <patternFill patternType="solid">
        <fgColor rgb="FFF97316"/>
        <bgColor rgb="FFFF9900"/>
      </patternFill>
    </fill>
    <fill>
      <patternFill patternType="solid">
        <fgColor rgb="FFE2E8F0"/>
        <bgColor rgb="FFE0E7FF"/>
      </patternFill>
    </fill>
    <fill>
      <patternFill patternType="solid">
        <fgColor rgb="FFFFF4C2"/>
        <bgColor rgb="FFF8FAFC"/>
      </patternFill>
    </fill>
    <fill>
      <patternFill patternType="solid">
        <fgColor rgb="FFF8FAFC"/>
        <bgColor rgb="FFFFFFFF"/>
      </patternFill>
    </fill>
    <fill>
      <patternFill patternType="solid">
        <fgColor rgb="FFDCFCE7"/>
        <bgColor rgb="FFE2E8F0"/>
      </patternFill>
    </fill>
  </fills>
  <borders count="2">
    <border>
      <left/>
      <right/>
      <top/>
      <bottom/>
      <diagonal/>
    </border>
    <border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8" fillId="2" borderId="0" applyAlignment="1" pivotButton="0" quotePrefix="0" xfId="0">
      <alignment horizontal="left" vertical="center" indent="1"/>
    </xf>
    <xf numFmtId="0" fontId="9" fillId="5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left" vertical="top" wrapText="1"/>
    </xf>
    <xf numFmtId="0" fontId="8" fillId="4" borderId="0" applyAlignment="1" pivotButton="0" quotePrefix="0" xfId="0">
      <alignment horizontal="left" vertical="center" indent="1"/>
    </xf>
    <xf numFmtId="0" fontId="7" fillId="0" borderId="0" applyAlignment="1" pivotButton="0" quotePrefix="0" xfId="0">
      <alignment horizontal="left" vertical="center" wrapText="1"/>
    </xf>
    <xf numFmtId="0" fontId="6" fillId="0" borderId="0" applyAlignment="1" pivotButton="0" quotePrefix="0" xfId="0">
      <alignment horizontal="left" vertical="top" wrapText="1"/>
    </xf>
    <xf numFmtId="0" fontId="5" fillId="3" borderId="0" applyAlignment="1" pivotButton="0" quotePrefix="0" xfId="0">
      <alignment horizontal="left" vertical="center" wrapText="1"/>
    </xf>
    <xf numFmtId="0" fontId="4" fillId="0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1" fillId="2" borderId="0" applyAlignment="1" pivotButton="0" quotePrefix="0" xfId="0">
      <alignment horizontal="center" vertical="center"/>
    </xf>
    <xf numFmtId="0" fontId="10" fillId="0" borderId="1" applyAlignment="1" pivotButton="0" quotePrefix="0" xfId="0">
      <alignment horizontal="left" vertical="center" indent="1"/>
    </xf>
    <xf numFmtId="164" fontId="11" fillId="6" borderId="1" applyAlignment="1" applyProtection="1" pivotButton="0" quotePrefix="0" xfId="0">
      <alignment horizontal="right" vertical="center"/>
      <protection locked="0"/>
    </xf>
    <xf numFmtId="165" fontId="6" fillId="7" borderId="1" applyAlignment="1" pivotButton="0" quotePrefix="0" xfId="0">
      <alignment horizontal="right" vertical="center"/>
    </xf>
    <xf numFmtId="166" fontId="11" fillId="6" borderId="1" applyAlignment="1" applyProtection="1" pivotButton="0" quotePrefix="0" xfId="0">
      <alignment horizontal="right" vertical="center"/>
      <protection locked="0"/>
    </xf>
    <xf numFmtId="167" fontId="6" fillId="7" borderId="1" applyAlignment="1" pivotButton="0" quotePrefix="0" xfId="0">
      <alignment horizontal="right" vertical="center"/>
    </xf>
    <xf numFmtId="1" fontId="11" fillId="6" borderId="1" applyAlignment="1" applyProtection="1" pivotButton="0" quotePrefix="0" xfId="0">
      <alignment horizontal="right" vertical="center"/>
      <protection locked="0"/>
    </xf>
    <xf numFmtId="164" fontId="6" fillId="7" borderId="1" applyAlignment="1" pivotButton="0" quotePrefix="0" xfId="0">
      <alignment horizontal="right" vertical="center"/>
    </xf>
    <xf numFmtId="168" fontId="11" fillId="6" borderId="1" applyAlignment="1" applyProtection="1" pivotButton="0" quotePrefix="0" xfId="0">
      <alignment horizontal="right" vertical="center"/>
      <protection locked="0"/>
    </xf>
    <xf numFmtId="169" fontId="6" fillId="7" borderId="1" applyAlignment="1" pivotButton="0" quotePrefix="0" xfId="0">
      <alignment horizontal="right" vertical="center"/>
    </xf>
    <xf numFmtId="170" fontId="12" fillId="8" borderId="1" applyAlignment="1" pivotButton="0" quotePrefix="0" xfId="0">
      <alignment horizontal="right" vertical="center"/>
    </xf>
    <xf numFmtId="164" fontId="12" fillId="8" borderId="1" applyAlignment="1" pivotButton="0" quotePrefix="0" xfId="0">
      <alignment horizontal="right" vertical="center"/>
    </xf>
    <xf numFmtId="171" fontId="6" fillId="7" borderId="1" applyAlignment="1" pivotButton="0" quotePrefix="0" xfId="0">
      <alignment horizontal="right" vertical="center"/>
    </xf>
    <xf numFmtId="168" fontId="6" fillId="7" borderId="1" applyAlignment="1" pivotButton="0" quotePrefix="0" xfId="0">
      <alignment horizontal="right" vertical="center"/>
    </xf>
    <xf numFmtId="0" fontId="13" fillId="2" borderId="1" applyAlignment="1" pivotButton="0" quotePrefix="0" xfId="0">
      <alignment horizontal="center" vertical="center" wrapText="1"/>
    </xf>
    <xf numFmtId="0" fontId="14" fillId="7" borderId="1" applyAlignment="1" pivotButton="0" quotePrefix="0" xfId="0">
      <alignment horizontal="center" vertical="center"/>
    </xf>
    <xf numFmtId="168" fontId="14" fillId="7" borderId="1" applyAlignment="1" pivotButton="0" quotePrefix="0" xfId="0">
      <alignment horizontal="center" vertical="center"/>
    </xf>
    <xf numFmtId="170" fontId="14" fillId="7" borderId="1" applyAlignment="1" pivotButton="0" quotePrefix="0" xfId="0">
      <alignment horizontal="right" vertical="center"/>
    </xf>
    <xf numFmtId="0" fontId="14" fillId="0" borderId="1" applyAlignment="1" pivotButton="0" quotePrefix="0" xfId="0">
      <alignment horizontal="center" vertical="center"/>
    </xf>
    <xf numFmtId="168" fontId="14" fillId="0" borderId="1" applyAlignment="1" pivotButton="0" quotePrefix="0" xfId="0">
      <alignment horizontal="center" vertical="center"/>
    </xf>
    <xf numFmtId="170" fontId="14" fillId="0" borderId="1" applyAlignment="1" pivotButton="0" quotePrefix="0" xfId="0">
      <alignment horizontal="right" vertical="center"/>
    </xf>
    <xf numFmtId="1" fontId="7" fillId="7" borderId="1" applyAlignment="1" pivotButton="0" quotePrefix="0" xfId="0">
      <alignment horizontal="center" vertical="center"/>
    </xf>
    <xf numFmtId="164" fontId="7" fillId="7" borderId="1" applyAlignment="1" pivotButton="0" quotePrefix="0" xfId="0">
      <alignment horizontal="right" vertical="center"/>
    </xf>
    <xf numFmtId="1" fontId="7" fillId="0" borderId="1" applyAlignment="1" pivotButton="0" quotePrefix="0" xfId="0">
      <alignment horizontal="center" vertical="center"/>
    </xf>
    <xf numFmtId="164" fontId="7" fillId="0" borderId="1" applyAlignment="1" pivotButton="0" quotePrefix="0" xfId="0">
      <alignment horizontal="right" vertical="center"/>
    </xf>
    <xf numFmtId="164" fontId="13" fillId="2" borderId="1" applyAlignment="1" pivotButton="0" quotePrefix="0" xfId="0">
      <alignment horizontal="right" vertical="center"/>
    </xf>
    <xf numFmtId="0" fontId="0" fillId="2" borderId="1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4C2"/>
      <rgbColor rgb="FFDCFCE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0E7FF"/>
      <rgbColor rgb="FFE2E8F0"/>
      <rgbColor rgb="FFF8FAF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993300"/>
      <rgbColor rgb="FF993366"/>
      <rgbColor rgb="FF1E3A8A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6"/>
  <sheetViews>
    <sheetView zoomScaleNormal="100" workbookViewId="0">
      <selection activeCell="A1" sqref="A1:H1"/>
    </sheetView>
  </sheetViews>
  <sheetFormatPr baseColWidth="8" defaultColWidth="8.7109375" defaultRowHeight="15"/>
  <cols>
    <col width="6" customWidth="1" min="1" max="1"/>
    <col width="26" customWidth="1" min="2" max="7"/>
    <col width="6" customWidth="1" min="8" max="8"/>
  </cols>
  <sheetData>
    <row r="1" ht="25.5" customHeight="1">
      <c r="A1" s="11" t="inlineStr">
        <is>
          <t>CalcGuru  |  calcguru.in</t>
        </is>
      </c>
    </row>
    <row r="2" ht="24" customHeight="1">
      <c r="A2" s="10" t="inlineStr">
        <is>
          <t>EMI Amortisation Calculator</t>
        </is>
      </c>
    </row>
    <row r="3" ht="18" customHeight="1">
      <c r="A3" s="9" t="inlineStr">
        <is>
          <t>Prepared by CA Tirumalesh Malla  |  https://calcguru.in</t>
        </is>
      </c>
    </row>
    <row r="4" ht="15.75" customHeight="1">
      <c r="A4" s="8" t="inlineStr">
        <is>
          <t>Home / Personal / Car Loan — month-wise principal &amp; interest schedule</t>
        </is>
      </c>
    </row>
    <row r="5"/>
    <row r="6" ht="16.15" customHeight="1">
      <c r="B6" s="7" t="inlineStr">
        <is>
          <t>About this utility</t>
        </is>
      </c>
    </row>
    <row r="7" ht="18" customHeight="1">
      <c r="B7" s="6" t="inlineStr">
        <is>
          <t>Enter your loan amount, interest rate and tenure on the Calculator sheet. This workbook instantly computes your EMI, total interest outgo and full month-wise amortisation schedule (up to 360 months / 30 years). Yellow cells are editable; everything else is locked for accuracy.</t>
        </is>
      </c>
    </row>
    <row r="8" ht="18" customHeight="1"/>
    <row r="9" ht="18" customHeight="1"/>
    <row r="10" ht="18" customHeight="1"/>
    <row r="11" ht="18" customHeight="1"/>
    <row r="12"/>
    <row r="13" ht="16.15" customHeight="1">
      <c r="B13" s="7" t="inlineStr">
        <is>
          <t>How to use</t>
        </is>
      </c>
    </row>
    <row r="14" ht="15" customHeight="1">
      <c r="B14" s="5" t="inlineStr">
        <is>
          <t>1. Go to the 'Calculator' sheet.</t>
        </is>
      </c>
    </row>
    <row r="15" ht="15" customHeight="1">
      <c r="B15" s="5" t="inlineStr">
        <is>
          <t>2. Enter Loan Amount (₹), Annual Interest Rate (%), Tenure (months) and Start Month.</t>
        </is>
      </c>
    </row>
    <row r="16" ht="15" customHeight="1">
      <c r="B16" s="5" t="inlineStr">
        <is>
          <t>3. Your EMI, total interest and total repayment appear instantly.</t>
        </is>
      </c>
    </row>
    <row r="17" ht="15" customHeight="1">
      <c r="B17" s="5" t="inlineStr">
        <is>
          <t>4. Open the 'Amortisation Schedule' sheet for month-wise breakup.</t>
        </is>
      </c>
    </row>
    <row r="18" ht="15" customHeight="1">
      <c r="B18" s="5" t="inlineStr">
        <is>
          <t>5. Open 'Summary' for yearly totals.</t>
        </is>
      </c>
    </row>
    <row r="19"/>
    <row r="20" ht="21.75" customHeight="1">
      <c r="A20" s="4" t="inlineStr">
        <is>
          <t>Disclaimer</t>
        </is>
      </c>
    </row>
    <row r="21" ht="15" customHeight="1">
      <c r="B21" s="3" t="inlineStr">
        <is>
          <t>This is an indicative calculator for planning purposes. Actual EMI from your lender may vary due to processing charges, GST, insurance, rounding, fluctuating rates (for floating-rate loans) or different day-count conventions. Always verify with your bank's sanction letter before signing.</t>
        </is>
      </c>
    </row>
    <row r="22"/>
    <row r="23"/>
    <row r="24"/>
    <row r="25"/>
    <row r="26" ht="18" customHeight="1">
      <c r="A26" s="2" t="inlineStr">
        <is>
          <t>CalcGuru  |  Prepared by CA Tirumalesh Malla  |  calcguru.in    —    For indicative estimation only. Verify before filing or transacting.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1" formatRows="1" sort="1" password="BBBC"/>
  <mergeCells count="15">
    <mergeCell ref="B16:G16"/>
    <mergeCell ref="A4:H4"/>
    <mergeCell ref="A3:H3"/>
    <mergeCell ref="B7:G11"/>
    <mergeCell ref="B14:G14"/>
    <mergeCell ref="A2:H2"/>
    <mergeCell ref="B17:G17"/>
    <mergeCell ref="A20:G20"/>
    <mergeCell ref="A26:G26"/>
    <mergeCell ref="B18:G18"/>
    <mergeCell ref="B13:G13"/>
    <mergeCell ref="A1:H1"/>
    <mergeCell ref="B15:G15"/>
    <mergeCell ref="B21:G23"/>
    <mergeCell ref="B6:G6"/>
  </mergeCells>
  <pageMargins left="0.75" right="0.75" top="1" bottom="1" header="0.511811023622047" footer="0.511811023622047"/>
  <pageSetup orientation="portrait" paperSize="9" horizontalDpi="300" verticalDpi="3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2"/>
  <sheetViews>
    <sheetView tabSelected="1" zoomScaleNormal="100" workbookViewId="0">
      <selection activeCell="F10" sqref="F10"/>
    </sheetView>
  </sheetViews>
  <sheetFormatPr baseColWidth="8" defaultColWidth="8.7109375" defaultRowHeight="15"/>
  <cols>
    <col width="4" customWidth="1" min="1" max="1"/>
    <col width="36" customWidth="1" min="2" max="2"/>
    <col width="22" customWidth="1" min="3" max="3"/>
    <col width="4" customWidth="1" min="4" max="4"/>
    <col width="36" customWidth="1" min="5" max="5"/>
    <col width="22" customWidth="1" min="6" max="6"/>
    <col width="4" customWidth="1" min="7" max="8"/>
  </cols>
  <sheetData>
    <row r="1" ht="25.5" customHeight="1">
      <c r="A1" s="11" t="inlineStr">
        <is>
          <t>CalcGuru  |  calcguru.in</t>
        </is>
      </c>
    </row>
    <row r="2" ht="24" customHeight="1">
      <c r="A2" s="10" t="inlineStr">
        <is>
          <t>EMI Calculator — Inputs &amp; Summary</t>
        </is>
      </c>
    </row>
    <row r="3" ht="18" customHeight="1">
      <c r="A3" s="9" t="inlineStr">
        <is>
          <t>Prepared by CA Tirumalesh Malla  |  https://calcguru.in</t>
        </is>
      </c>
    </row>
    <row r="4" ht="15.75" customHeight="1">
      <c r="A4" s="8" t="inlineStr">
        <is>
          <t>Fill yellow cells only. All formulas are locked.</t>
        </is>
      </c>
    </row>
    <row r="5"/>
    <row r="6" ht="21.75" customHeight="1">
      <c r="A6" s="1" t="inlineStr">
        <is>
          <t>Loan Inputs</t>
        </is>
      </c>
    </row>
    <row r="7">
      <c r="B7" s="12" t="inlineStr">
        <is>
          <t>Loan Amount (₹)</t>
        </is>
      </c>
      <c r="C7" s="13" t="n">
        <v>5000000</v>
      </c>
      <c r="E7" s="12" t="inlineStr">
        <is>
          <t>Tenure (Years)</t>
        </is>
      </c>
      <c r="F7" s="14">
        <f>C9/12</f>
        <v/>
      </c>
    </row>
    <row r="8">
      <c r="B8" s="12" t="inlineStr">
        <is>
          <t>Annual Interest Rate (%)</t>
        </is>
      </c>
      <c r="C8" s="15" t="n">
        <v>8.5</v>
      </c>
      <c r="E8" s="12" t="inlineStr">
        <is>
          <t>EMI as multiple of Principal</t>
        </is>
      </c>
      <c r="F8" s="16">
        <f>C16/C7</f>
        <v/>
      </c>
    </row>
    <row r="9">
      <c r="B9" s="12" t="inlineStr">
        <is>
          <t>Loan Tenure (months)</t>
        </is>
      </c>
      <c r="C9" s="17" t="n">
        <v>240</v>
      </c>
      <c r="E9" s="12" t="inlineStr">
        <is>
          <t>Avg. Monthly Interest</t>
        </is>
      </c>
      <c r="F9" s="18">
        <f>C15/C9</f>
        <v/>
      </c>
    </row>
    <row r="10">
      <c r="B10" s="12" t="inlineStr">
        <is>
          <t>Start Date (MM/YYYY)</t>
        </is>
      </c>
      <c r="C10" s="19" t="n">
        <v>46204</v>
      </c>
      <c r="E10" s="12" t="inlineStr">
        <is>
          <t>Avg. Monthly Principal</t>
        </is>
      </c>
      <c r="F10" s="18">
        <f>C7/C9</f>
        <v/>
      </c>
    </row>
    <row r="11">
      <c r="B11" s="12" t="inlineStr">
        <is>
          <t>Monthly Interest Rate</t>
        </is>
      </c>
      <c r="C11" s="20">
        <f>C8/12/100</f>
        <v/>
      </c>
    </row>
    <row r="12"/>
    <row r="13" ht="21.75" customHeight="1">
      <c r="A13" s="1" t="inlineStr">
        <is>
          <t>Results</t>
        </is>
      </c>
    </row>
    <row r="14" ht="15.75" customHeight="1">
      <c r="B14" s="12" t="inlineStr">
        <is>
          <t>Monthly EMI (₹)</t>
        </is>
      </c>
      <c r="C14" s="21">
        <f>IFERROR(PMT(C11,C9,-C7),0)</f>
        <v/>
      </c>
    </row>
    <row r="15" ht="15.75" customHeight="1">
      <c r="B15" s="12" t="inlineStr">
        <is>
          <t>Total Interest Payable (₹)</t>
        </is>
      </c>
      <c r="C15" s="22">
        <f>C14*C9-C7</f>
        <v/>
      </c>
    </row>
    <row r="16" ht="15.75" customHeight="1">
      <c r="B16" s="12" t="inlineStr">
        <is>
          <t>Total Repayment (₹)</t>
        </is>
      </c>
      <c r="C16" s="22">
        <f>C14*C9</f>
        <v/>
      </c>
    </row>
    <row r="17">
      <c r="B17" s="12" t="inlineStr">
        <is>
          <t>Interest as % of Principal</t>
        </is>
      </c>
      <c r="C17" s="23">
        <f>C15/C7</f>
        <v/>
      </c>
    </row>
    <row r="18">
      <c r="B18" s="12" t="inlineStr">
        <is>
          <t>Loan Closure Date</t>
        </is>
      </c>
      <c r="C18" s="24">
        <f>EDATE(C10,C9-1)</f>
        <v/>
      </c>
    </row>
    <row r="19"/>
    <row r="20"/>
    <row r="21"/>
    <row r="22" ht="18" customHeight="1">
      <c r="A22" s="2" t="inlineStr">
        <is>
          <t>CalcGuru  |  Prepared by CA Tirumalesh Malla  |  calcguru.in    —    For indicative estimation only. Verify before filing or transacting.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1" formatRows="1" sort="1" password="BBBC"/>
  <mergeCells count="7">
    <mergeCell ref="A4:H4"/>
    <mergeCell ref="A3:H3"/>
    <mergeCell ref="A2:H2"/>
    <mergeCell ref="A13:H13"/>
    <mergeCell ref="A1:H1"/>
    <mergeCell ref="A6:H6"/>
    <mergeCell ref="A22:H22"/>
  </mergeCells>
  <pageMargins left="0.75" right="0.75" top="1" bottom="1" header="0.511811023622047" footer="0.511811023622047"/>
  <pageSetup orientation="portrait" paperSize="9" horizontalDpi="300" verticalDpi="300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369"/>
  <sheetViews>
    <sheetView zoomScaleNormal="100" workbookViewId="0">
      <pane xSplit="1" ySplit="6" topLeftCell="B118" activePane="bottomRight" state="frozen"/>
      <selection pane="topRight" activeCell="B1" sqref="B1"/>
      <selection pane="bottomLeft" activeCell="A7" sqref="A7"/>
      <selection pane="bottomRight" activeCell="A1" sqref="A1:H1"/>
    </sheetView>
  </sheetViews>
  <sheetFormatPr baseColWidth="8" defaultColWidth="8.7109375" defaultRowHeight="15"/>
  <cols>
    <col width="6" customWidth="1" min="1" max="1"/>
    <col width="10" customWidth="1" min="2" max="2"/>
    <col width="14" customWidth="1" min="3" max="3"/>
    <col width="16" customWidth="1" min="4" max="6"/>
    <col width="18" customWidth="1" min="7" max="7"/>
    <col width="6" customWidth="1" min="8" max="8"/>
  </cols>
  <sheetData>
    <row r="1" ht="25.5" customHeight="1">
      <c r="A1" s="11" t="inlineStr">
        <is>
          <t>CalcGuru  |  calcguru.in</t>
        </is>
      </c>
    </row>
    <row r="2" ht="24" customHeight="1">
      <c r="A2" s="10" t="inlineStr">
        <is>
          <t>Amortisation Schedule (up to 360 months)</t>
        </is>
      </c>
    </row>
    <row r="3" ht="18" customHeight="1">
      <c r="A3" s="9" t="inlineStr">
        <is>
          <t>Prepared by CA Tirumalesh Malla  |  https://calcguru.in</t>
        </is>
      </c>
    </row>
    <row r="4" ht="15.75" customHeight="1">
      <c r="A4" s="8" t="inlineStr">
        <is>
          <t>Auto-hidden rows if tenure is shorter than 360 months.</t>
        </is>
      </c>
    </row>
    <row r="5"/>
    <row r="6" ht="21.75" customHeight="1">
      <c r="B6" s="25" t="inlineStr">
        <is>
          <t>Month #</t>
        </is>
      </c>
      <c r="C6" s="25" t="inlineStr">
        <is>
          <t>Month</t>
        </is>
      </c>
      <c r="D6" s="25" t="inlineStr">
        <is>
          <t>EMI (₹)</t>
        </is>
      </c>
      <c r="E6" s="25" t="inlineStr">
        <is>
          <t>Interest (₹)</t>
        </is>
      </c>
      <c r="F6" s="25" t="inlineStr">
        <is>
          <t>Principal (₹)</t>
        </is>
      </c>
      <c r="G6" s="25" t="inlineStr">
        <is>
          <t>Balance (₹)</t>
        </is>
      </c>
    </row>
    <row r="7">
      <c r="B7" s="26">
        <f>IF(1&lt;=Calculator!C9,1,"")</f>
        <v/>
      </c>
      <c r="C7" s="27">
        <f>IF(1&lt;=Calculator!C9,EDATE(Calculator!C10,1-1),"")</f>
        <v/>
      </c>
      <c r="D7" s="28">
        <f>IF(1&lt;=Calculator!C9,Calculator!C14,"")</f>
        <v/>
      </c>
      <c r="E7" s="28">
        <f>IF(1&lt;=Calculator!C9,Calculator!C7*Calculator!C11,"")</f>
        <v/>
      </c>
      <c r="F7" s="28">
        <f>IF(1&lt;=Calculator!C9,D7-E7,"")</f>
        <v/>
      </c>
      <c r="G7" s="28">
        <f>IF(1&lt;=Calculator!C9,Calculator!C7-F7,"")</f>
        <v/>
      </c>
    </row>
    <row r="8">
      <c r="B8" s="29">
        <f>IF(2&lt;=Calculator!C9,2,"")</f>
        <v/>
      </c>
      <c r="C8" s="30">
        <f>IF(2&lt;=Calculator!C9,EDATE(Calculator!C10,2-1),"")</f>
        <v/>
      </c>
      <c r="D8" s="31">
        <f>IF(2&lt;=Calculator!C9,Calculator!C14,"")</f>
        <v/>
      </c>
      <c r="E8" s="31">
        <f>IF(2&lt;=Calculator!C9,G7*Calculator!C11,"")</f>
        <v/>
      </c>
      <c r="F8" s="31">
        <f>IF(2&lt;=Calculator!C9,D8-E8,"")</f>
        <v/>
      </c>
      <c r="G8" s="31">
        <f>IF(2&lt;=Calculator!C9,G7-F8,"")</f>
        <v/>
      </c>
    </row>
    <row r="9">
      <c r="B9" s="26">
        <f>IF(3&lt;=Calculator!C9,3,"")</f>
        <v/>
      </c>
      <c r="C9" s="27">
        <f>IF(3&lt;=Calculator!C9,EDATE(Calculator!C10,3-1),"")</f>
        <v/>
      </c>
      <c r="D9" s="28">
        <f>IF(3&lt;=Calculator!C9,Calculator!C14,"")</f>
        <v/>
      </c>
      <c r="E9" s="28">
        <f>IF(3&lt;=Calculator!C9,G8*Calculator!C11,"")</f>
        <v/>
      </c>
      <c r="F9" s="28">
        <f>IF(3&lt;=Calculator!C9,D9-E9,"")</f>
        <v/>
      </c>
      <c r="G9" s="28">
        <f>IF(3&lt;=Calculator!C9,G8-F9,"")</f>
        <v/>
      </c>
    </row>
    <row r="10">
      <c r="B10" s="29">
        <f>IF(4&lt;=Calculator!C9,4,"")</f>
        <v/>
      </c>
      <c r="C10" s="30">
        <f>IF(4&lt;=Calculator!C9,EDATE(Calculator!C10,4-1),"")</f>
        <v/>
      </c>
      <c r="D10" s="31">
        <f>IF(4&lt;=Calculator!C9,Calculator!C14,"")</f>
        <v/>
      </c>
      <c r="E10" s="31">
        <f>IF(4&lt;=Calculator!C9,G9*Calculator!C11,"")</f>
        <v/>
      </c>
      <c r="F10" s="31">
        <f>IF(4&lt;=Calculator!C9,D10-E10,"")</f>
        <v/>
      </c>
      <c r="G10" s="31">
        <f>IF(4&lt;=Calculator!C9,G9-F10,"")</f>
        <v/>
      </c>
    </row>
    <row r="11">
      <c r="B11" s="26">
        <f>IF(5&lt;=Calculator!C9,5,"")</f>
        <v/>
      </c>
      <c r="C11" s="27">
        <f>IF(5&lt;=Calculator!C9,EDATE(Calculator!C10,5-1),"")</f>
        <v/>
      </c>
      <c r="D11" s="28">
        <f>IF(5&lt;=Calculator!C9,Calculator!C14,"")</f>
        <v/>
      </c>
      <c r="E11" s="28">
        <f>IF(5&lt;=Calculator!C9,G10*Calculator!C11,"")</f>
        <v/>
      </c>
      <c r="F11" s="28">
        <f>IF(5&lt;=Calculator!C9,D11-E11,"")</f>
        <v/>
      </c>
      <c r="G11" s="28">
        <f>IF(5&lt;=Calculator!C9,G10-F11,"")</f>
        <v/>
      </c>
    </row>
    <row r="12">
      <c r="B12" s="29">
        <f>IF(6&lt;=Calculator!C9,6,"")</f>
        <v/>
      </c>
      <c r="C12" s="30">
        <f>IF(6&lt;=Calculator!C9,EDATE(Calculator!C10,6-1),"")</f>
        <v/>
      </c>
      <c r="D12" s="31">
        <f>IF(6&lt;=Calculator!C9,Calculator!C14,"")</f>
        <v/>
      </c>
      <c r="E12" s="31">
        <f>IF(6&lt;=Calculator!C9,G11*Calculator!C11,"")</f>
        <v/>
      </c>
      <c r="F12" s="31">
        <f>IF(6&lt;=Calculator!C9,D12-E12,"")</f>
        <v/>
      </c>
      <c r="G12" s="31">
        <f>IF(6&lt;=Calculator!C9,G11-F12,"")</f>
        <v/>
      </c>
    </row>
    <row r="13">
      <c r="B13" s="26">
        <f>IF(7&lt;=Calculator!C9,7,"")</f>
        <v/>
      </c>
      <c r="C13" s="27">
        <f>IF(7&lt;=Calculator!C9,EDATE(Calculator!C10,7-1),"")</f>
        <v/>
      </c>
      <c r="D13" s="28">
        <f>IF(7&lt;=Calculator!C9,Calculator!C14,"")</f>
        <v/>
      </c>
      <c r="E13" s="28">
        <f>IF(7&lt;=Calculator!C9,G12*Calculator!C11,"")</f>
        <v/>
      </c>
      <c r="F13" s="28">
        <f>IF(7&lt;=Calculator!C9,D13-E13,"")</f>
        <v/>
      </c>
      <c r="G13" s="28">
        <f>IF(7&lt;=Calculator!C9,G12-F13,"")</f>
        <v/>
      </c>
    </row>
    <row r="14">
      <c r="B14" s="29">
        <f>IF(8&lt;=Calculator!C9,8,"")</f>
        <v/>
      </c>
      <c r="C14" s="30">
        <f>IF(8&lt;=Calculator!C9,EDATE(Calculator!C10,8-1),"")</f>
        <v/>
      </c>
      <c r="D14" s="31">
        <f>IF(8&lt;=Calculator!C9,Calculator!C14,"")</f>
        <v/>
      </c>
      <c r="E14" s="31">
        <f>IF(8&lt;=Calculator!C9,G13*Calculator!C11,"")</f>
        <v/>
      </c>
      <c r="F14" s="31">
        <f>IF(8&lt;=Calculator!C9,D14-E14,"")</f>
        <v/>
      </c>
      <c r="G14" s="31">
        <f>IF(8&lt;=Calculator!C9,G13-F14,"")</f>
        <v/>
      </c>
    </row>
    <row r="15">
      <c r="B15" s="26">
        <f>IF(9&lt;=Calculator!C9,9,"")</f>
        <v/>
      </c>
      <c r="C15" s="27">
        <f>IF(9&lt;=Calculator!C9,EDATE(Calculator!C10,9-1),"")</f>
        <v/>
      </c>
      <c r="D15" s="28">
        <f>IF(9&lt;=Calculator!C9,Calculator!C14,"")</f>
        <v/>
      </c>
      <c r="E15" s="28">
        <f>IF(9&lt;=Calculator!C9,G14*Calculator!C11,"")</f>
        <v/>
      </c>
      <c r="F15" s="28">
        <f>IF(9&lt;=Calculator!C9,D15-E15,"")</f>
        <v/>
      </c>
      <c r="G15" s="28">
        <f>IF(9&lt;=Calculator!C9,G14-F15,"")</f>
        <v/>
      </c>
    </row>
    <row r="16">
      <c r="B16" s="29">
        <f>IF(10&lt;=Calculator!C9,10,"")</f>
        <v/>
      </c>
      <c r="C16" s="30">
        <f>IF(10&lt;=Calculator!C9,EDATE(Calculator!C10,10-1),"")</f>
        <v/>
      </c>
      <c r="D16" s="31">
        <f>IF(10&lt;=Calculator!C9,Calculator!C14,"")</f>
        <v/>
      </c>
      <c r="E16" s="31">
        <f>IF(10&lt;=Calculator!C9,G15*Calculator!C11,"")</f>
        <v/>
      </c>
      <c r="F16" s="31">
        <f>IF(10&lt;=Calculator!C9,D16-E16,"")</f>
        <v/>
      </c>
      <c r="G16" s="31">
        <f>IF(10&lt;=Calculator!C9,G15-F16,"")</f>
        <v/>
      </c>
    </row>
    <row r="17">
      <c r="B17" s="26">
        <f>IF(11&lt;=Calculator!C9,11,"")</f>
        <v/>
      </c>
      <c r="C17" s="27">
        <f>IF(11&lt;=Calculator!C9,EDATE(Calculator!C10,11-1),"")</f>
        <v/>
      </c>
      <c r="D17" s="28">
        <f>IF(11&lt;=Calculator!C9,Calculator!C14,"")</f>
        <v/>
      </c>
      <c r="E17" s="28">
        <f>IF(11&lt;=Calculator!C9,G16*Calculator!C11,"")</f>
        <v/>
      </c>
      <c r="F17" s="28">
        <f>IF(11&lt;=Calculator!C9,D17-E17,"")</f>
        <v/>
      </c>
      <c r="G17" s="28">
        <f>IF(11&lt;=Calculator!C9,G16-F17,"")</f>
        <v/>
      </c>
    </row>
    <row r="18">
      <c r="B18" s="29">
        <f>IF(12&lt;=Calculator!C9,12,"")</f>
        <v/>
      </c>
      <c r="C18" s="30">
        <f>IF(12&lt;=Calculator!C9,EDATE(Calculator!C10,12-1),"")</f>
        <v/>
      </c>
      <c r="D18" s="31">
        <f>IF(12&lt;=Calculator!C9,Calculator!C14,"")</f>
        <v/>
      </c>
      <c r="E18" s="31">
        <f>IF(12&lt;=Calculator!C9,G17*Calculator!C11,"")</f>
        <v/>
      </c>
      <c r="F18" s="31">
        <f>IF(12&lt;=Calculator!C9,D18-E18,"")</f>
        <v/>
      </c>
      <c r="G18" s="31">
        <f>IF(12&lt;=Calculator!C9,G17-F18,"")</f>
        <v/>
      </c>
    </row>
    <row r="19">
      <c r="B19" s="26">
        <f>IF(13&lt;=Calculator!C9,13,"")</f>
        <v/>
      </c>
      <c r="C19" s="27">
        <f>IF(13&lt;=Calculator!C9,EDATE(Calculator!C10,13-1),"")</f>
        <v/>
      </c>
      <c r="D19" s="28">
        <f>IF(13&lt;=Calculator!C9,Calculator!C14,"")</f>
        <v/>
      </c>
      <c r="E19" s="28">
        <f>IF(13&lt;=Calculator!C9,G18*Calculator!C11,"")</f>
        <v/>
      </c>
      <c r="F19" s="28">
        <f>IF(13&lt;=Calculator!C9,D19-E19,"")</f>
        <v/>
      </c>
      <c r="G19" s="28">
        <f>IF(13&lt;=Calculator!C9,G18-F19,"")</f>
        <v/>
      </c>
    </row>
    <row r="20">
      <c r="B20" s="29">
        <f>IF(14&lt;=Calculator!C9,14,"")</f>
        <v/>
      </c>
      <c r="C20" s="30">
        <f>IF(14&lt;=Calculator!C9,EDATE(Calculator!C10,14-1),"")</f>
        <v/>
      </c>
      <c r="D20" s="31">
        <f>IF(14&lt;=Calculator!C9,Calculator!C14,"")</f>
        <v/>
      </c>
      <c r="E20" s="31">
        <f>IF(14&lt;=Calculator!C9,G19*Calculator!C11,"")</f>
        <v/>
      </c>
      <c r="F20" s="31">
        <f>IF(14&lt;=Calculator!C9,D20-E20,"")</f>
        <v/>
      </c>
      <c r="G20" s="31">
        <f>IF(14&lt;=Calculator!C9,G19-F20,"")</f>
        <v/>
      </c>
    </row>
    <row r="21">
      <c r="B21" s="26">
        <f>IF(15&lt;=Calculator!C9,15,"")</f>
        <v/>
      </c>
      <c r="C21" s="27">
        <f>IF(15&lt;=Calculator!C9,EDATE(Calculator!C10,15-1),"")</f>
        <v/>
      </c>
      <c r="D21" s="28">
        <f>IF(15&lt;=Calculator!C9,Calculator!C14,"")</f>
        <v/>
      </c>
      <c r="E21" s="28">
        <f>IF(15&lt;=Calculator!C9,G20*Calculator!C11,"")</f>
        <v/>
      </c>
      <c r="F21" s="28">
        <f>IF(15&lt;=Calculator!C9,D21-E21,"")</f>
        <v/>
      </c>
      <c r="G21" s="28">
        <f>IF(15&lt;=Calculator!C9,G20-F21,"")</f>
        <v/>
      </c>
    </row>
    <row r="22">
      <c r="B22" s="29">
        <f>IF(16&lt;=Calculator!C9,16,"")</f>
        <v/>
      </c>
      <c r="C22" s="30">
        <f>IF(16&lt;=Calculator!C9,EDATE(Calculator!C10,16-1),"")</f>
        <v/>
      </c>
      <c r="D22" s="31">
        <f>IF(16&lt;=Calculator!C9,Calculator!C14,"")</f>
        <v/>
      </c>
      <c r="E22" s="31">
        <f>IF(16&lt;=Calculator!C9,G21*Calculator!C11,"")</f>
        <v/>
      </c>
      <c r="F22" s="31">
        <f>IF(16&lt;=Calculator!C9,D22-E22,"")</f>
        <v/>
      </c>
      <c r="G22" s="31">
        <f>IF(16&lt;=Calculator!C9,G21-F22,"")</f>
        <v/>
      </c>
    </row>
    <row r="23">
      <c r="B23" s="26">
        <f>IF(17&lt;=Calculator!C9,17,"")</f>
        <v/>
      </c>
      <c r="C23" s="27">
        <f>IF(17&lt;=Calculator!C9,EDATE(Calculator!C10,17-1),"")</f>
        <v/>
      </c>
      <c r="D23" s="28">
        <f>IF(17&lt;=Calculator!C9,Calculator!C14,"")</f>
        <v/>
      </c>
      <c r="E23" s="28">
        <f>IF(17&lt;=Calculator!C9,G22*Calculator!C11,"")</f>
        <v/>
      </c>
      <c r="F23" s="28">
        <f>IF(17&lt;=Calculator!C9,D23-E23,"")</f>
        <v/>
      </c>
      <c r="G23" s="28">
        <f>IF(17&lt;=Calculator!C9,G22-F23,"")</f>
        <v/>
      </c>
    </row>
    <row r="24">
      <c r="B24" s="29">
        <f>IF(18&lt;=Calculator!C9,18,"")</f>
        <v/>
      </c>
      <c r="C24" s="30">
        <f>IF(18&lt;=Calculator!C9,EDATE(Calculator!C10,18-1),"")</f>
        <v/>
      </c>
      <c r="D24" s="31">
        <f>IF(18&lt;=Calculator!C9,Calculator!C14,"")</f>
        <v/>
      </c>
      <c r="E24" s="31">
        <f>IF(18&lt;=Calculator!C9,G23*Calculator!C11,"")</f>
        <v/>
      </c>
      <c r="F24" s="31">
        <f>IF(18&lt;=Calculator!C9,D24-E24,"")</f>
        <v/>
      </c>
      <c r="G24" s="31">
        <f>IF(18&lt;=Calculator!C9,G23-F24,"")</f>
        <v/>
      </c>
    </row>
    <row r="25">
      <c r="B25" s="26">
        <f>IF(19&lt;=Calculator!C9,19,"")</f>
        <v/>
      </c>
      <c r="C25" s="27">
        <f>IF(19&lt;=Calculator!C9,EDATE(Calculator!C10,19-1),"")</f>
        <v/>
      </c>
      <c r="D25" s="28">
        <f>IF(19&lt;=Calculator!C9,Calculator!C14,"")</f>
        <v/>
      </c>
      <c r="E25" s="28">
        <f>IF(19&lt;=Calculator!C9,G24*Calculator!C11,"")</f>
        <v/>
      </c>
      <c r="F25" s="28">
        <f>IF(19&lt;=Calculator!C9,D25-E25,"")</f>
        <v/>
      </c>
      <c r="G25" s="28">
        <f>IF(19&lt;=Calculator!C9,G24-F25,"")</f>
        <v/>
      </c>
    </row>
    <row r="26">
      <c r="B26" s="29">
        <f>IF(20&lt;=Calculator!C9,20,"")</f>
        <v/>
      </c>
      <c r="C26" s="30">
        <f>IF(20&lt;=Calculator!C9,EDATE(Calculator!C10,20-1),"")</f>
        <v/>
      </c>
      <c r="D26" s="31">
        <f>IF(20&lt;=Calculator!C9,Calculator!C14,"")</f>
        <v/>
      </c>
      <c r="E26" s="31">
        <f>IF(20&lt;=Calculator!C9,G25*Calculator!C11,"")</f>
        <v/>
      </c>
      <c r="F26" s="31">
        <f>IF(20&lt;=Calculator!C9,D26-E26,"")</f>
        <v/>
      </c>
      <c r="G26" s="31">
        <f>IF(20&lt;=Calculator!C9,G25-F26,"")</f>
        <v/>
      </c>
    </row>
    <row r="27">
      <c r="B27" s="26">
        <f>IF(21&lt;=Calculator!C9,21,"")</f>
        <v/>
      </c>
      <c r="C27" s="27">
        <f>IF(21&lt;=Calculator!C9,EDATE(Calculator!C10,21-1),"")</f>
        <v/>
      </c>
      <c r="D27" s="28">
        <f>IF(21&lt;=Calculator!C9,Calculator!C14,"")</f>
        <v/>
      </c>
      <c r="E27" s="28">
        <f>IF(21&lt;=Calculator!C9,G26*Calculator!C11,"")</f>
        <v/>
      </c>
      <c r="F27" s="28">
        <f>IF(21&lt;=Calculator!C9,D27-E27,"")</f>
        <v/>
      </c>
      <c r="G27" s="28">
        <f>IF(21&lt;=Calculator!C9,G26-F27,"")</f>
        <v/>
      </c>
    </row>
    <row r="28">
      <c r="B28" s="29">
        <f>IF(22&lt;=Calculator!C9,22,"")</f>
        <v/>
      </c>
      <c r="C28" s="30">
        <f>IF(22&lt;=Calculator!C9,EDATE(Calculator!C10,22-1),"")</f>
        <v/>
      </c>
      <c r="D28" s="31">
        <f>IF(22&lt;=Calculator!C9,Calculator!C14,"")</f>
        <v/>
      </c>
      <c r="E28" s="31">
        <f>IF(22&lt;=Calculator!C9,G27*Calculator!C11,"")</f>
        <v/>
      </c>
      <c r="F28" s="31">
        <f>IF(22&lt;=Calculator!C9,D28-E28,"")</f>
        <v/>
      </c>
      <c r="G28" s="31">
        <f>IF(22&lt;=Calculator!C9,G27-F28,"")</f>
        <v/>
      </c>
    </row>
    <row r="29">
      <c r="B29" s="26">
        <f>IF(23&lt;=Calculator!C9,23,"")</f>
        <v/>
      </c>
      <c r="C29" s="27">
        <f>IF(23&lt;=Calculator!C9,EDATE(Calculator!C10,23-1),"")</f>
        <v/>
      </c>
      <c r="D29" s="28">
        <f>IF(23&lt;=Calculator!C9,Calculator!C14,"")</f>
        <v/>
      </c>
      <c r="E29" s="28">
        <f>IF(23&lt;=Calculator!C9,G28*Calculator!C11,"")</f>
        <v/>
      </c>
      <c r="F29" s="28">
        <f>IF(23&lt;=Calculator!C9,D29-E29,"")</f>
        <v/>
      </c>
      <c r="G29" s="28">
        <f>IF(23&lt;=Calculator!C9,G28-F29,"")</f>
        <v/>
      </c>
    </row>
    <row r="30">
      <c r="B30" s="29">
        <f>IF(24&lt;=Calculator!C9,24,"")</f>
        <v/>
      </c>
      <c r="C30" s="30">
        <f>IF(24&lt;=Calculator!C9,EDATE(Calculator!C10,24-1),"")</f>
        <v/>
      </c>
      <c r="D30" s="31">
        <f>IF(24&lt;=Calculator!C9,Calculator!C14,"")</f>
        <v/>
      </c>
      <c r="E30" s="31">
        <f>IF(24&lt;=Calculator!C9,G29*Calculator!C11,"")</f>
        <v/>
      </c>
      <c r="F30" s="31">
        <f>IF(24&lt;=Calculator!C9,D30-E30,"")</f>
        <v/>
      </c>
      <c r="G30" s="31">
        <f>IF(24&lt;=Calculator!C9,G29-F30,"")</f>
        <v/>
      </c>
    </row>
    <row r="31">
      <c r="B31" s="26">
        <f>IF(25&lt;=Calculator!C9,25,"")</f>
        <v/>
      </c>
      <c r="C31" s="27">
        <f>IF(25&lt;=Calculator!C9,EDATE(Calculator!C10,25-1),"")</f>
        <v/>
      </c>
      <c r="D31" s="28">
        <f>IF(25&lt;=Calculator!C9,Calculator!C14,"")</f>
        <v/>
      </c>
      <c r="E31" s="28">
        <f>IF(25&lt;=Calculator!C9,G30*Calculator!C11,"")</f>
        <v/>
      </c>
      <c r="F31" s="28">
        <f>IF(25&lt;=Calculator!C9,D31-E31,"")</f>
        <v/>
      </c>
      <c r="G31" s="28">
        <f>IF(25&lt;=Calculator!C9,G30-F31,"")</f>
        <v/>
      </c>
    </row>
    <row r="32">
      <c r="B32" s="29">
        <f>IF(26&lt;=Calculator!C9,26,"")</f>
        <v/>
      </c>
      <c r="C32" s="30">
        <f>IF(26&lt;=Calculator!C9,EDATE(Calculator!C10,26-1),"")</f>
        <v/>
      </c>
      <c r="D32" s="31">
        <f>IF(26&lt;=Calculator!C9,Calculator!C14,"")</f>
        <v/>
      </c>
      <c r="E32" s="31">
        <f>IF(26&lt;=Calculator!C9,G31*Calculator!C11,"")</f>
        <v/>
      </c>
      <c r="F32" s="31">
        <f>IF(26&lt;=Calculator!C9,D32-E32,"")</f>
        <v/>
      </c>
      <c r="G32" s="31">
        <f>IF(26&lt;=Calculator!C9,G31-F32,"")</f>
        <v/>
      </c>
    </row>
    <row r="33">
      <c r="B33" s="26">
        <f>IF(27&lt;=Calculator!C9,27,"")</f>
        <v/>
      </c>
      <c r="C33" s="27">
        <f>IF(27&lt;=Calculator!C9,EDATE(Calculator!C10,27-1),"")</f>
        <v/>
      </c>
      <c r="D33" s="28">
        <f>IF(27&lt;=Calculator!C9,Calculator!C14,"")</f>
        <v/>
      </c>
      <c r="E33" s="28">
        <f>IF(27&lt;=Calculator!C9,G32*Calculator!C11,"")</f>
        <v/>
      </c>
      <c r="F33" s="28">
        <f>IF(27&lt;=Calculator!C9,D33-E33,"")</f>
        <v/>
      </c>
      <c r="G33" s="28">
        <f>IF(27&lt;=Calculator!C9,G32-F33,"")</f>
        <v/>
      </c>
    </row>
    <row r="34">
      <c r="B34" s="29">
        <f>IF(28&lt;=Calculator!C9,28,"")</f>
        <v/>
      </c>
      <c r="C34" s="30">
        <f>IF(28&lt;=Calculator!C9,EDATE(Calculator!C10,28-1),"")</f>
        <v/>
      </c>
      <c r="D34" s="31">
        <f>IF(28&lt;=Calculator!C9,Calculator!C14,"")</f>
        <v/>
      </c>
      <c r="E34" s="31">
        <f>IF(28&lt;=Calculator!C9,G33*Calculator!C11,"")</f>
        <v/>
      </c>
      <c r="F34" s="31">
        <f>IF(28&lt;=Calculator!C9,D34-E34,"")</f>
        <v/>
      </c>
      <c r="G34" s="31">
        <f>IF(28&lt;=Calculator!C9,G33-F34,"")</f>
        <v/>
      </c>
    </row>
    <row r="35">
      <c r="B35" s="26">
        <f>IF(29&lt;=Calculator!C9,29,"")</f>
        <v/>
      </c>
      <c r="C35" s="27">
        <f>IF(29&lt;=Calculator!C9,EDATE(Calculator!C10,29-1),"")</f>
        <v/>
      </c>
      <c r="D35" s="28">
        <f>IF(29&lt;=Calculator!C9,Calculator!C14,"")</f>
        <v/>
      </c>
      <c r="E35" s="28">
        <f>IF(29&lt;=Calculator!C9,G34*Calculator!C11,"")</f>
        <v/>
      </c>
      <c r="F35" s="28">
        <f>IF(29&lt;=Calculator!C9,D35-E35,"")</f>
        <v/>
      </c>
      <c r="G35" s="28">
        <f>IF(29&lt;=Calculator!C9,G34-F35,"")</f>
        <v/>
      </c>
    </row>
    <row r="36">
      <c r="B36" s="29">
        <f>IF(30&lt;=Calculator!C9,30,"")</f>
        <v/>
      </c>
      <c r="C36" s="30">
        <f>IF(30&lt;=Calculator!C9,EDATE(Calculator!C10,30-1),"")</f>
        <v/>
      </c>
      <c r="D36" s="31">
        <f>IF(30&lt;=Calculator!C9,Calculator!C14,"")</f>
        <v/>
      </c>
      <c r="E36" s="31">
        <f>IF(30&lt;=Calculator!C9,G35*Calculator!C11,"")</f>
        <v/>
      </c>
      <c r="F36" s="31">
        <f>IF(30&lt;=Calculator!C9,D36-E36,"")</f>
        <v/>
      </c>
      <c r="G36" s="31">
        <f>IF(30&lt;=Calculator!C9,G35-F36,"")</f>
        <v/>
      </c>
    </row>
    <row r="37">
      <c r="B37" s="26">
        <f>IF(31&lt;=Calculator!C9,31,"")</f>
        <v/>
      </c>
      <c r="C37" s="27">
        <f>IF(31&lt;=Calculator!C9,EDATE(Calculator!C10,31-1),"")</f>
        <v/>
      </c>
      <c r="D37" s="28">
        <f>IF(31&lt;=Calculator!C9,Calculator!C14,"")</f>
        <v/>
      </c>
      <c r="E37" s="28">
        <f>IF(31&lt;=Calculator!C9,G36*Calculator!C11,"")</f>
        <v/>
      </c>
      <c r="F37" s="28">
        <f>IF(31&lt;=Calculator!C9,D37-E37,"")</f>
        <v/>
      </c>
      <c r="G37" s="28">
        <f>IF(31&lt;=Calculator!C9,G36-F37,"")</f>
        <v/>
      </c>
    </row>
    <row r="38">
      <c r="B38" s="29">
        <f>IF(32&lt;=Calculator!C9,32,"")</f>
        <v/>
      </c>
      <c r="C38" s="30">
        <f>IF(32&lt;=Calculator!C9,EDATE(Calculator!C10,32-1),"")</f>
        <v/>
      </c>
      <c r="D38" s="31">
        <f>IF(32&lt;=Calculator!C9,Calculator!C14,"")</f>
        <v/>
      </c>
      <c r="E38" s="31">
        <f>IF(32&lt;=Calculator!C9,G37*Calculator!C11,"")</f>
        <v/>
      </c>
      <c r="F38" s="31">
        <f>IF(32&lt;=Calculator!C9,D38-E38,"")</f>
        <v/>
      </c>
      <c r="G38" s="31">
        <f>IF(32&lt;=Calculator!C9,G37-F38,"")</f>
        <v/>
      </c>
    </row>
    <row r="39">
      <c r="B39" s="26">
        <f>IF(33&lt;=Calculator!C9,33,"")</f>
        <v/>
      </c>
      <c r="C39" s="27">
        <f>IF(33&lt;=Calculator!C9,EDATE(Calculator!C10,33-1),"")</f>
        <v/>
      </c>
      <c r="D39" s="28">
        <f>IF(33&lt;=Calculator!C9,Calculator!C14,"")</f>
        <v/>
      </c>
      <c r="E39" s="28">
        <f>IF(33&lt;=Calculator!C9,G38*Calculator!C11,"")</f>
        <v/>
      </c>
      <c r="F39" s="28">
        <f>IF(33&lt;=Calculator!C9,D39-E39,"")</f>
        <v/>
      </c>
      <c r="G39" s="28">
        <f>IF(33&lt;=Calculator!C9,G38-F39,"")</f>
        <v/>
      </c>
    </row>
    <row r="40">
      <c r="B40" s="29">
        <f>IF(34&lt;=Calculator!C9,34,"")</f>
        <v/>
      </c>
      <c r="C40" s="30">
        <f>IF(34&lt;=Calculator!C9,EDATE(Calculator!C10,34-1),"")</f>
        <v/>
      </c>
      <c r="D40" s="31">
        <f>IF(34&lt;=Calculator!C9,Calculator!C14,"")</f>
        <v/>
      </c>
      <c r="E40" s="31">
        <f>IF(34&lt;=Calculator!C9,G39*Calculator!C11,"")</f>
        <v/>
      </c>
      <c r="F40" s="31">
        <f>IF(34&lt;=Calculator!C9,D40-E40,"")</f>
        <v/>
      </c>
      <c r="G40" s="31">
        <f>IF(34&lt;=Calculator!C9,G39-F40,"")</f>
        <v/>
      </c>
    </row>
    <row r="41">
      <c r="B41" s="26">
        <f>IF(35&lt;=Calculator!C9,35,"")</f>
        <v/>
      </c>
      <c r="C41" s="27">
        <f>IF(35&lt;=Calculator!C9,EDATE(Calculator!C10,35-1),"")</f>
        <v/>
      </c>
      <c r="D41" s="28">
        <f>IF(35&lt;=Calculator!C9,Calculator!C14,"")</f>
        <v/>
      </c>
      <c r="E41" s="28">
        <f>IF(35&lt;=Calculator!C9,G40*Calculator!C11,"")</f>
        <v/>
      </c>
      <c r="F41" s="28">
        <f>IF(35&lt;=Calculator!C9,D41-E41,"")</f>
        <v/>
      </c>
      <c r="G41" s="28">
        <f>IF(35&lt;=Calculator!C9,G40-F41,"")</f>
        <v/>
      </c>
    </row>
    <row r="42">
      <c r="B42" s="29">
        <f>IF(36&lt;=Calculator!C9,36,"")</f>
        <v/>
      </c>
      <c r="C42" s="30">
        <f>IF(36&lt;=Calculator!C9,EDATE(Calculator!C10,36-1),"")</f>
        <v/>
      </c>
      <c r="D42" s="31">
        <f>IF(36&lt;=Calculator!C9,Calculator!C14,"")</f>
        <v/>
      </c>
      <c r="E42" s="31">
        <f>IF(36&lt;=Calculator!C9,G41*Calculator!C11,"")</f>
        <v/>
      </c>
      <c r="F42" s="31">
        <f>IF(36&lt;=Calculator!C9,D42-E42,"")</f>
        <v/>
      </c>
      <c r="G42" s="31">
        <f>IF(36&lt;=Calculator!C9,G41-F42,"")</f>
        <v/>
      </c>
    </row>
    <row r="43">
      <c r="B43" s="26">
        <f>IF(37&lt;=Calculator!C9,37,"")</f>
        <v/>
      </c>
      <c r="C43" s="27">
        <f>IF(37&lt;=Calculator!C9,EDATE(Calculator!C10,37-1),"")</f>
        <v/>
      </c>
      <c r="D43" s="28">
        <f>IF(37&lt;=Calculator!C9,Calculator!C14,"")</f>
        <v/>
      </c>
      <c r="E43" s="28">
        <f>IF(37&lt;=Calculator!C9,G42*Calculator!C11,"")</f>
        <v/>
      </c>
      <c r="F43" s="28">
        <f>IF(37&lt;=Calculator!C9,D43-E43,"")</f>
        <v/>
      </c>
      <c r="G43" s="28">
        <f>IF(37&lt;=Calculator!C9,G42-F43,"")</f>
        <v/>
      </c>
    </row>
    <row r="44">
      <c r="B44" s="29">
        <f>IF(38&lt;=Calculator!C9,38,"")</f>
        <v/>
      </c>
      <c r="C44" s="30">
        <f>IF(38&lt;=Calculator!C9,EDATE(Calculator!C10,38-1),"")</f>
        <v/>
      </c>
      <c r="D44" s="31">
        <f>IF(38&lt;=Calculator!C9,Calculator!C14,"")</f>
        <v/>
      </c>
      <c r="E44" s="31">
        <f>IF(38&lt;=Calculator!C9,G43*Calculator!C11,"")</f>
        <v/>
      </c>
      <c r="F44" s="31">
        <f>IF(38&lt;=Calculator!C9,D44-E44,"")</f>
        <v/>
      </c>
      <c r="G44" s="31">
        <f>IF(38&lt;=Calculator!C9,G43-F44,"")</f>
        <v/>
      </c>
    </row>
    <row r="45">
      <c r="B45" s="26">
        <f>IF(39&lt;=Calculator!C9,39,"")</f>
        <v/>
      </c>
      <c r="C45" s="27">
        <f>IF(39&lt;=Calculator!C9,EDATE(Calculator!C10,39-1),"")</f>
        <v/>
      </c>
      <c r="D45" s="28">
        <f>IF(39&lt;=Calculator!C9,Calculator!C14,"")</f>
        <v/>
      </c>
      <c r="E45" s="28">
        <f>IF(39&lt;=Calculator!C9,G44*Calculator!C11,"")</f>
        <v/>
      </c>
      <c r="F45" s="28">
        <f>IF(39&lt;=Calculator!C9,D45-E45,"")</f>
        <v/>
      </c>
      <c r="G45" s="28">
        <f>IF(39&lt;=Calculator!C9,G44-F45,"")</f>
        <v/>
      </c>
    </row>
    <row r="46">
      <c r="B46" s="29">
        <f>IF(40&lt;=Calculator!C9,40,"")</f>
        <v/>
      </c>
      <c r="C46" s="30">
        <f>IF(40&lt;=Calculator!C9,EDATE(Calculator!C10,40-1),"")</f>
        <v/>
      </c>
      <c r="D46" s="31">
        <f>IF(40&lt;=Calculator!C9,Calculator!C14,"")</f>
        <v/>
      </c>
      <c r="E46" s="31">
        <f>IF(40&lt;=Calculator!C9,G45*Calculator!C11,"")</f>
        <v/>
      </c>
      <c r="F46" s="31">
        <f>IF(40&lt;=Calculator!C9,D46-E46,"")</f>
        <v/>
      </c>
      <c r="G46" s="31">
        <f>IF(40&lt;=Calculator!C9,G45-F46,"")</f>
        <v/>
      </c>
    </row>
    <row r="47">
      <c r="B47" s="26">
        <f>IF(41&lt;=Calculator!C9,41,"")</f>
        <v/>
      </c>
      <c r="C47" s="27">
        <f>IF(41&lt;=Calculator!C9,EDATE(Calculator!C10,41-1),"")</f>
        <v/>
      </c>
      <c r="D47" s="28">
        <f>IF(41&lt;=Calculator!C9,Calculator!C14,"")</f>
        <v/>
      </c>
      <c r="E47" s="28">
        <f>IF(41&lt;=Calculator!C9,G46*Calculator!C11,"")</f>
        <v/>
      </c>
      <c r="F47" s="28">
        <f>IF(41&lt;=Calculator!C9,D47-E47,"")</f>
        <v/>
      </c>
      <c r="G47" s="28">
        <f>IF(41&lt;=Calculator!C9,G46-F47,"")</f>
        <v/>
      </c>
    </row>
    <row r="48">
      <c r="B48" s="29">
        <f>IF(42&lt;=Calculator!C9,42,"")</f>
        <v/>
      </c>
      <c r="C48" s="30">
        <f>IF(42&lt;=Calculator!C9,EDATE(Calculator!C10,42-1),"")</f>
        <v/>
      </c>
      <c r="D48" s="31">
        <f>IF(42&lt;=Calculator!C9,Calculator!C14,"")</f>
        <v/>
      </c>
      <c r="E48" s="31">
        <f>IF(42&lt;=Calculator!C9,G47*Calculator!C11,"")</f>
        <v/>
      </c>
      <c r="F48" s="31">
        <f>IF(42&lt;=Calculator!C9,D48-E48,"")</f>
        <v/>
      </c>
      <c r="G48" s="31">
        <f>IF(42&lt;=Calculator!C9,G47-F48,"")</f>
        <v/>
      </c>
    </row>
    <row r="49">
      <c r="B49" s="26">
        <f>IF(43&lt;=Calculator!C9,43,"")</f>
        <v/>
      </c>
      <c r="C49" s="27">
        <f>IF(43&lt;=Calculator!C9,EDATE(Calculator!C10,43-1),"")</f>
        <v/>
      </c>
      <c r="D49" s="28">
        <f>IF(43&lt;=Calculator!C9,Calculator!C14,"")</f>
        <v/>
      </c>
      <c r="E49" s="28">
        <f>IF(43&lt;=Calculator!C9,G48*Calculator!C11,"")</f>
        <v/>
      </c>
      <c r="F49" s="28">
        <f>IF(43&lt;=Calculator!C9,D49-E49,"")</f>
        <v/>
      </c>
      <c r="G49" s="28">
        <f>IF(43&lt;=Calculator!C9,G48-F49,"")</f>
        <v/>
      </c>
    </row>
    <row r="50">
      <c r="B50" s="29">
        <f>IF(44&lt;=Calculator!C9,44,"")</f>
        <v/>
      </c>
      <c r="C50" s="30">
        <f>IF(44&lt;=Calculator!C9,EDATE(Calculator!C10,44-1),"")</f>
        <v/>
      </c>
      <c r="D50" s="31">
        <f>IF(44&lt;=Calculator!C9,Calculator!C14,"")</f>
        <v/>
      </c>
      <c r="E50" s="31">
        <f>IF(44&lt;=Calculator!C9,G49*Calculator!C11,"")</f>
        <v/>
      </c>
      <c r="F50" s="31">
        <f>IF(44&lt;=Calculator!C9,D50-E50,"")</f>
        <v/>
      </c>
      <c r="G50" s="31">
        <f>IF(44&lt;=Calculator!C9,G49-F50,"")</f>
        <v/>
      </c>
    </row>
    <row r="51">
      <c r="B51" s="26">
        <f>IF(45&lt;=Calculator!C9,45,"")</f>
        <v/>
      </c>
      <c r="C51" s="27">
        <f>IF(45&lt;=Calculator!C9,EDATE(Calculator!C10,45-1),"")</f>
        <v/>
      </c>
      <c r="D51" s="28">
        <f>IF(45&lt;=Calculator!C9,Calculator!C14,"")</f>
        <v/>
      </c>
      <c r="E51" s="28">
        <f>IF(45&lt;=Calculator!C9,G50*Calculator!C11,"")</f>
        <v/>
      </c>
      <c r="F51" s="28">
        <f>IF(45&lt;=Calculator!C9,D51-E51,"")</f>
        <v/>
      </c>
      <c r="G51" s="28">
        <f>IF(45&lt;=Calculator!C9,G50-F51,"")</f>
        <v/>
      </c>
    </row>
    <row r="52">
      <c r="B52" s="29">
        <f>IF(46&lt;=Calculator!C9,46,"")</f>
        <v/>
      </c>
      <c r="C52" s="30">
        <f>IF(46&lt;=Calculator!C9,EDATE(Calculator!C10,46-1),"")</f>
        <v/>
      </c>
      <c r="D52" s="31">
        <f>IF(46&lt;=Calculator!C9,Calculator!C14,"")</f>
        <v/>
      </c>
      <c r="E52" s="31">
        <f>IF(46&lt;=Calculator!C9,G51*Calculator!C11,"")</f>
        <v/>
      </c>
      <c r="F52" s="31">
        <f>IF(46&lt;=Calculator!C9,D52-E52,"")</f>
        <v/>
      </c>
      <c r="G52" s="31">
        <f>IF(46&lt;=Calculator!C9,G51-F52,"")</f>
        <v/>
      </c>
    </row>
    <row r="53">
      <c r="B53" s="26">
        <f>IF(47&lt;=Calculator!C9,47,"")</f>
        <v/>
      </c>
      <c r="C53" s="27">
        <f>IF(47&lt;=Calculator!C9,EDATE(Calculator!C10,47-1),"")</f>
        <v/>
      </c>
      <c r="D53" s="28">
        <f>IF(47&lt;=Calculator!C9,Calculator!C14,"")</f>
        <v/>
      </c>
      <c r="E53" s="28">
        <f>IF(47&lt;=Calculator!C9,G52*Calculator!C11,"")</f>
        <v/>
      </c>
      <c r="F53" s="28">
        <f>IF(47&lt;=Calculator!C9,D53-E53,"")</f>
        <v/>
      </c>
      <c r="G53" s="28">
        <f>IF(47&lt;=Calculator!C9,G52-F53,"")</f>
        <v/>
      </c>
    </row>
    <row r="54">
      <c r="B54" s="29">
        <f>IF(48&lt;=Calculator!C9,48,"")</f>
        <v/>
      </c>
      <c r="C54" s="30">
        <f>IF(48&lt;=Calculator!C9,EDATE(Calculator!C10,48-1),"")</f>
        <v/>
      </c>
      <c r="D54" s="31">
        <f>IF(48&lt;=Calculator!C9,Calculator!C14,"")</f>
        <v/>
      </c>
      <c r="E54" s="31">
        <f>IF(48&lt;=Calculator!C9,G53*Calculator!C11,"")</f>
        <v/>
      </c>
      <c r="F54" s="31">
        <f>IF(48&lt;=Calculator!C9,D54-E54,"")</f>
        <v/>
      </c>
      <c r="G54" s="31">
        <f>IF(48&lt;=Calculator!C9,G53-F54,"")</f>
        <v/>
      </c>
    </row>
    <row r="55">
      <c r="B55" s="26">
        <f>IF(49&lt;=Calculator!C9,49,"")</f>
        <v/>
      </c>
      <c r="C55" s="27">
        <f>IF(49&lt;=Calculator!C9,EDATE(Calculator!C10,49-1),"")</f>
        <v/>
      </c>
      <c r="D55" s="28">
        <f>IF(49&lt;=Calculator!C9,Calculator!C14,"")</f>
        <v/>
      </c>
      <c r="E55" s="28">
        <f>IF(49&lt;=Calculator!C9,G54*Calculator!C11,"")</f>
        <v/>
      </c>
      <c r="F55" s="28">
        <f>IF(49&lt;=Calculator!C9,D55-E55,"")</f>
        <v/>
      </c>
      <c r="G55" s="28">
        <f>IF(49&lt;=Calculator!C9,G54-F55,"")</f>
        <v/>
      </c>
    </row>
    <row r="56">
      <c r="B56" s="29">
        <f>IF(50&lt;=Calculator!C9,50,"")</f>
        <v/>
      </c>
      <c r="C56" s="30">
        <f>IF(50&lt;=Calculator!C9,EDATE(Calculator!C10,50-1),"")</f>
        <v/>
      </c>
      <c r="D56" s="31">
        <f>IF(50&lt;=Calculator!C9,Calculator!C14,"")</f>
        <v/>
      </c>
      <c r="E56" s="31">
        <f>IF(50&lt;=Calculator!C9,G55*Calculator!C11,"")</f>
        <v/>
      </c>
      <c r="F56" s="31">
        <f>IF(50&lt;=Calculator!C9,D56-E56,"")</f>
        <v/>
      </c>
      <c r="G56" s="31">
        <f>IF(50&lt;=Calculator!C9,G55-F56,"")</f>
        <v/>
      </c>
    </row>
    <row r="57">
      <c r="B57" s="26">
        <f>IF(51&lt;=Calculator!C9,51,"")</f>
        <v/>
      </c>
      <c r="C57" s="27">
        <f>IF(51&lt;=Calculator!C9,EDATE(Calculator!C10,51-1),"")</f>
        <v/>
      </c>
      <c r="D57" s="28">
        <f>IF(51&lt;=Calculator!C9,Calculator!C14,"")</f>
        <v/>
      </c>
      <c r="E57" s="28">
        <f>IF(51&lt;=Calculator!C9,G56*Calculator!C11,"")</f>
        <v/>
      </c>
      <c r="F57" s="28">
        <f>IF(51&lt;=Calculator!C9,D57-E57,"")</f>
        <v/>
      </c>
      <c r="G57" s="28">
        <f>IF(51&lt;=Calculator!C9,G56-F57,"")</f>
        <v/>
      </c>
    </row>
    <row r="58">
      <c r="B58" s="29">
        <f>IF(52&lt;=Calculator!C9,52,"")</f>
        <v/>
      </c>
      <c r="C58" s="30">
        <f>IF(52&lt;=Calculator!C9,EDATE(Calculator!C10,52-1),"")</f>
        <v/>
      </c>
      <c r="D58" s="31">
        <f>IF(52&lt;=Calculator!C9,Calculator!C14,"")</f>
        <v/>
      </c>
      <c r="E58" s="31">
        <f>IF(52&lt;=Calculator!C9,G57*Calculator!C11,"")</f>
        <v/>
      </c>
      <c r="F58" s="31">
        <f>IF(52&lt;=Calculator!C9,D58-E58,"")</f>
        <v/>
      </c>
      <c r="G58" s="31">
        <f>IF(52&lt;=Calculator!C9,G57-F58,"")</f>
        <v/>
      </c>
    </row>
    <row r="59">
      <c r="B59" s="26">
        <f>IF(53&lt;=Calculator!C9,53,"")</f>
        <v/>
      </c>
      <c r="C59" s="27">
        <f>IF(53&lt;=Calculator!C9,EDATE(Calculator!C10,53-1),"")</f>
        <v/>
      </c>
      <c r="D59" s="28">
        <f>IF(53&lt;=Calculator!C9,Calculator!C14,"")</f>
        <v/>
      </c>
      <c r="E59" s="28">
        <f>IF(53&lt;=Calculator!C9,G58*Calculator!C11,"")</f>
        <v/>
      </c>
      <c r="F59" s="28">
        <f>IF(53&lt;=Calculator!C9,D59-E59,"")</f>
        <v/>
      </c>
      <c r="G59" s="28">
        <f>IF(53&lt;=Calculator!C9,G58-F59,"")</f>
        <v/>
      </c>
    </row>
    <row r="60">
      <c r="B60" s="29">
        <f>IF(54&lt;=Calculator!C9,54,"")</f>
        <v/>
      </c>
      <c r="C60" s="30">
        <f>IF(54&lt;=Calculator!C9,EDATE(Calculator!C10,54-1),"")</f>
        <v/>
      </c>
      <c r="D60" s="31">
        <f>IF(54&lt;=Calculator!C9,Calculator!C14,"")</f>
        <v/>
      </c>
      <c r="E60" s="31">
        <f>IF(54&lt;=Calculator!C9,G59*Calculator!C11,"")</f>
        <v/>
      </c>
      <c r="F60" s="31">
        <f>IF(54&lt;=Calculator!C9,D60-E60,"")</f>
        <v/>
      </c>
      <c r="G60" s="31">
        <f>IF(54&lt;=Calculator!C9,G59-F60,"")</f>
        <v/>
      </c>
    </row>
    <row r="61">
      <c r="B61" s="26">
        <f>IF(55&lt;=Calculator!C9,55,"")</f>
        <v/>
      </c>
      <c r="C61" s="27">
        <f>IF(55&lt;=Calculator!C9,EDATE(Calculator!C10,55-1),"")</f>
        <v/>
      </c>
      <c r="D61" s="28">
        <f>IF(55&lt;=Calculator!C9,Calculator!C14,"")</f>
        <v/>
      </c>
      <c r="E61" s="28">
        <f>IF(55&lt;=Calculator!C9,G60*Calculator!C11,"")</f>
        <v/>
      </c>
      <c r="F61" s="28">
        <f>IF(55&lt;=Calculator!C9,D61-E61,"")</f>
        <v/>
      </c>
      <c r="G61" s="28">
        <f>IF(55&lt;=Calculator!C9,G60-F61,"")</f>
        <v/>
      </c>
    </row>
    <row r="62">
      <c r="B62" s="29">
        <f>IF(56&lt;=Calculator!C9,56,"")</f>
        <v/>
      </c>
      <c r="C62" s="30">
        <f>IF(56&lt;=Calculator!C9,EDATE(Calculator!C10,56-1),"")</f>
        <v/>
      </c>
      <c r="D62" s="31">
        <f>IF(56&lt;=Calculator!C9,Calculator!C14,"")</f>
        <v/>
      </c>
      <c r="E62" s="31">
        <f>IF(56&lt;=Calculator!C9,G61*Calculator!C11,"")</f>
        <v/>
      </c>
      <c r="F62" s="31">
        <f>IF(56&lt;=Calculator!C9,D62-E62,"")</f>
        <v/>
      </c>
      <c r="G62" s="31">
        <f>IF(56&lt;=Calculator!C9,G61-F62,"")</f>
        <v/>
      </c>
    </row>
    <row r="63">
      <c r="B63" s="26">
        <f>IF(57&lt;=Calculator!C9,57,"")</f>
        <v/>
      </c>
      <c r="C63" s="27">
        <f>IF(57&lt;=Calculator!C9,EDATE(Calculator!C10,57-1),"")</f>
        <v/>
      </c>
      <c r="D63" s="28">
        <f>IF(57&lt;=Calculator!C9,Calculator!C14,"")</f>
        <v/>
      </c>
      <c r="E63" s="28">
        <f>IF(57&lt;=Calculator!C9,G62*Calculator!C11,"")</f>
        <v/>
      </c>
      <c r="F63" s="28">
        <f>IF(57&lt;=Calculator!C9,D63-E63,"")</f>
        <v/>
      </c>
      <c r="G63" s="28">
        <f>IF(57&lt;=Calculator!C9,G62-F63,"")</f>
        <v/>
      </c>
    </row>
    <row r="64">
      <c r="B64" s="29">
        <f>IF(58&lt;=Calculator!C9,58,"")</f>
        <v/>
      </c>
      <c r="C64" s="30">
        <f>IF(58&lt;=Calculator!C9,EDATE(Calculator!C10,58-1),"")</f>
        <v/>
      </c>
      <c r="D64" s="31">
        <f>IF(58&lt;=Calculator!C9,Calculator!C14,"")</f>
        <v/>
      </c>
      <c r="E64" s="31">
        <f>IF(58&lt;=Calculator!C9,G63*Calculator!C11,"")</f>
        <v/>
      </c>
      <c r="F64" s="31">
        <f>IF(58&lt;=Calculator!C9,D64-E64,"")</f>
        <v/>
      </c>
      <c r="G64" s="31">
        <f>IF(58&lt;=Calculator!C9,G63-F64,"")</f>
        <v/>
      </c>
    </row>
    <row r="65">
      <c r="B65" s="26">
        <f>IF(59&lt;=Calculator!C9,59,"")</f>
        <v/>
      </c>
      <c r="C65" s="27">
        <f>IF(59&lt;=Calculator!C9,EDATE(Calculator!C10,59-1),"")</f>
        <v/>
      </c>
      <c r="D65" s="28">
        <f>IF(59&lt;=Calculator!C9,Calculator!C14,"")</f>
        <v/>
      </c>
      <c r="E65" s="28">
        <f>IF(59&lt;=Calculator!C9,G64*Calculator!C11,"")</f>
        <v/>
      </c>
      <c r="F65" s="28">
        <f>IF(59&lt;=Calculator!C9,D65-E65,"")</f>
        <v/>
      </c>
      <c r="G65" s="28">
        <f>IF(59&lt;=Calculator!C9,G64-F65,"")</f>
        <v/>
      </c>
    </row>
    <row r="66">
      <c r="B66" s="29">
        <f>IF(60&lt;=Calculator!C9,60,"")</f>
        <v/>
      </c>
      <c r="C66" s="30">
        <f>IF(60&lt;=Calculator!C9,EDATE(Calculator!C10,60-1),"")</f>
        <v/>
      </c>
      <c r="D66" s="31">
        <f>IF(60&lt;=Calculator!C9,Calculator!C14,"")</f>
        <v/>
      </c>
      <c r="E66" s="31">
        <f>IF(60&lt;=Calculator!C9,G65*Calculator!C11,"")</f>
        <v/>
      </c>
      <c r="F66" s="31">
        <f>IF(60&lt;=Calculator!C9,D66-E66,"")</f>
        <v/>
      </c>
      <c r="G66" s="31">
        <f>IF(60&lt;=Calculator!C9,G65-F66,"")</f>
        <v/>
      </c>
    </row>
    <row r="67">
      <c r="B67" s="26">
        <f>IF(61&lt;=Calculator!C9,61,"")</f>
        <v/>
      </c>
      <c r="C67" s="27">
        <f>IF(61&lt;=Calculator!C9,EDATE(Calculator!C10,61-1),"")</f>
        <v/>
      </c>
      <c r="D67" s="28">
        <f>IF(61&lt;=Calculator!C9,Calculator!C14,"")</f>
        <v/>
      </c>
      <c r="E67" s="28">
        <f>IF(61&lt;=Calculator!C9,G66*Calculator!C11,"")</f>
        <v/>
      </c>
      <c r="F67" s="28">
        <f>IF(61&lt;=Calculator!C9,D67-E67,"")</f>
        <v/>
      </c>
      <c r="G67" s="28">
        <f>IF(61&lt;=Calculator!C9,G66-F67,"")</f>
        <v/>
      </c>
    </row>
    <row r="68">
      <c r="B68" s="29">
        <f>IF(62&lt;=Calculator!C9,62,"")</f>
        <v/>
      </c>
      <c r="C68" s="30">
        <f>IF(62&lt;=Calculator!C9,EDATE(Calculator!C10,62-1),"")</f>
        <v/>
      </c>
      <c r="D68" s="31">
        <f>IF(62&lt;=Calculator!C9,Calculator!C14,"")</f>
        <v/>
      </c>
      <c r="E68" s="31">
        <f>IF(62&lt;=Calculator!C9,G67*Calculator!C11,"")</f>
        <v/>
      </c>
      <c r="F68" s="31">
        <f>IF(62&lt;=Calculator!C9,D68-E68,"")</f>
        <v/>
      </c>
      <c r="G68" s="31">
        <f>IF(62&lt;=Calculator!C9,G67-F68,"")</f>
        <v/>
      </c>
    </row>
    <row r="69">
      <c r="B69" s="26">
        <f>IF(63&lt;=Calculator!C9,63,"")</f>
        <v/>
      </c>
      <c r="C69" s="27">
        <f>IF(63&lt;=Calculator!C9,EDATE(Calculator!C10,63-1),"")</f>
        <v/>
      </c>
      <c r="D69" s="28">
        <f>IF(63&lt;=Calculator!C9,Calculator!C14,"")</f>
        <v/>
      </c>
      <c r="E69" s="28">
        <f>IF(63&lt;=Calculator!C9,G68*Calculator!C11,"")</f>
        <v/>
      </c>
      <c r="F69" s="28">
        <f>IF(63&lt;=Calculator!C9,D69-E69,"")</f>
        <v/>
      </c>
      <c r="G69" s="28">
        <f>IF(63&lt;=Calculator!C9,G68-F69,"")</f>
        <v/>
      </c>
    </row>
    <row r="70">
      <c r="B70" s="29">
        <f>IF(64&lt;=Calculator!C9,64,"")</f>
        <v/>
      </c>
      <c r="C70" s="30">
        <f>IF(64&lt;=Calculator!C9,EDATE(Calculator!C10,64-1),"")</f>
        <v/>
      </c>
      <c r="D70" s="31">
        <f>IF(64&lt;=Calculator!C9,Calculator!C14,"")</f>
        <v/>
      </c>
      <c r="E70" s="31">
        <f>IF(64&lt;=Calculator!C9,G69*Calculator!C11,"")</f>
        <v/>
      </c>
      <c r="F70" s="31">
        <f>IF(64&lt;=Calculator!C9,D70-E70,"")</f>
        <v/>
      </c>
      <c r="G70" s="31">
        <f>IF(64&lt;=Calculator!C9,G69-F70,"")</f>
        <v/>
      </c>
    </row>
    <row r="71">
      <c r="B71" s="26">
        <f>IF(65&lt;=Calculator!C9,65,"")</f>
        <v/>
      </c>
      <c r="C71" s="27">
        <f>IF(65&lt;=Calculator!C9,EDATE(Calculator!C10,65-1),"")</f>
        <v/>
      </c>
      <c r="D71" s="28">
        <f>IF(65&lt;=Calculator!C9,Calculator!C14,"")</f>
        <v/>
      </c>
      <c r="E71" s="28">
        <f>IF(65&lt;=Calculator!C9,G70*Calculator!C11,"")</f>
        <v/>
      </c>
      <c r="F71" s="28">
        <f>IF(65&lt;=Calculator!C9,D71-E71,"")</f>
        <v/>
      </c>
      <c r="G71" s="28">
        <f>IF(65&lt;=Calculator!C9,G70-F71,"")</f>
        <v/>
      </c>
    </row>
    <row r="72">
      <c r="B72" s="29">
        <f>IF(66&lt;=Calculator!C9,66,"")</f>
        <v/>
      </c>
      <c r="C72" s="30">
        <f>IF(66&lt;=Calculator!C9,EDATE(Calculator!C10,66-1),"")</f>
        <v/>
      </c>
      <c r="D72" s="31">
        <f>IF(66&lt;=Calculator!C9,Calculator!C14,"")</f>
        <v/>
      </c>
      <c r="E72" s="31">
        <f>IF(66&lt;=Calculator!C9,G71*Calculator!C11,"")</f>
        <v/>
      </c>
      <c r="F72" s="31">
        <f>IF(66&lt;=Calculator!C9,D72-E72,"")</f>
        <v/>
      </c>
      <c r="G72" s="31">
        <f>IF(66&lt;=Calculator!C9,G71-F72,"")</f>
        <v/>
      </c>
    </row>
    <row r="73">
      <c r="B73" s="26">
        <f>IF(67&lt;=Calculator!C9,67,"")</f>
        <v/>
      </c>
      <c r="C73" s="27">
        <f>IF(67&lt;=Calculator!C9,EDATE(Calculator!C10,67-1),"")</f>
        <v/>
      </c>
      <c r="D73" s="28">
        <f>IF(67&lt;=Calculator!C9,Calculator!C14,"")</f>
        <v/>
      </c>
      <c r="E73" s="28">
        <f>IF(67&lt;=Calculator!C9,G72*Calculator!C11,"")</f>
        <v/>
      </c>
      <c r="F73" s="28">
        <f>IF(67&lt;=Calculator!C9,D73-E73,"")</f>
        <v/>
      </c>
      <c r="G73" s="28">
        <f>IF(67&lt;=Calculator!C9,G72-F73,"")</f>
        <v/>
      </c>
    </row>
    <row r="74">
      <c r="B74" s="29">
        <f>IF(68&lt;=Calculator!C9,68,"")</f>
        <v/>
      </c>
      <c r="C74" s="30">
        <f>IF(68&lt;=Calculator!C9,EDATE(Calculator!C10,68-1),"")</f>
        <v/>
      </c>
      <c r="D74" s="31">
        <f>IF(68&lt;=Calculator!C9,Calculator!C14,"")</f>
        <v/>
      </c>
      <c r="E74" s="31">
        <f>IF(68&lt;=Calculator!C9,G73*Calculator!C11,"")</f>
        <v/>
      </c>
      <c r="F74" s="31">
        <f>IF(68&lt;=Calculator!C9,D74-E74,"")</f>
        <v/>
      </c>
      <c r="G74" s="31">
        <f>IF(68&lt;=Calculator!C9,G73-F74,"")</f>
        <v/>
      </c>
    </row>
    <row r="75">
      <c r="B75" s="26">
        <f>IF(69&lt;=Calculator!C9,69,"")</f>
        <v/>
      </c>
      <c r="C75" s="27">
        <f>IF(69&lt;=Calculator!C9,EDATE(Calculator!C10,69-1),"")</f>
        <v/>
      </c>
      <c r="D75" s="28">
        <f>IF(69&lt;=Calculator!C9,Calculator!C14,"")</f>
        <v/>
      </c>
      <c r="E75" s="28">
        <f>IF(69&lt;=Calculator!C9,G74*Calculator!C11,"")</f>
        <v/>
      </c>
      <c r="F75" s="28">
        <f>IF(69&lt;=Calculator!C9,D75-E75,"")</f>
        <v/>
      </c>
      <c r="G75" s="28">
        <f>IF(69&lt;=Calculator!C9,G74-F75,"")</f>
        <v/>
      </c>
    </row>
    <row r="76">
      <c r="B76" s="29">
        <f>IF(70&lt;=Calculator!C9,70,"")</f>
        <v/>
      </c>
      <c r="C76" s="30">
        <f>IF(70&lt;=Calculator!C9,EDATE(Calculator!C10,70-1),"")</f>
        <v/>
      </c>
      <c r="D76" s="31">
        <f>IF(70&lt;=Calculator!C9,Calculator!C14,"")</f>
        <v/>
      </c>
      <c r="E76" s="31">
        <f>IF(70&lt;=Calculator!C9,G75*Calculator!C11,"")</f>
        <v/>
      </c>
      <c r="F76" s="31">
        <f>IF(70&lt;=Calculator!C9,D76-E76,"")</f>
        <v/>
      </c>
      <c r="G76" s="31">
        <f>IF(70&lt;=Calculator!C9,G75-F76,"")</f>
        <v/>
      </c>
    </row>
    <row r="77">
      <c r="B77" s="26">
        <f>IF(71&lt;=Calculator!C9,71,"")</f>
        <v/>
      </c>
      <c r="C77" s="27">
        <f>IF(71&lt;=Calculator!C9,EDATE(Calculator!C10,71-1),"")</f>
        <v/>
      </c>
      <c r="D77" s="28">
        <f>IF(71&lt;=Calculator!C9,Calculator!C14,"")</f>
        <v/>
      </c>
      <c r="E77" s="28">
        <f>IF(71&lt;=Calculator!C9,G76*Calculator!C11,"")</f>
        <v/>
      </c>
      <c r="F77" s="28">
        <f>IF(71&lt;=Calculator!C9,D77-E77,"")</f>
        <v/>
      </c>
      <c r="G77" s="28">
        <f>IF(71&lt;=Calculator!C9,G76-F77,"")</f>
        <v/>
      </c>
    </row>
    <row r="78">
      <c r="B78" s="29">
        <f>IF(72&lt;=Calculator!C9,72,"")</f>
        <v/>
      </c>
      <c r="C78" s="30">
        <f>IF(72&lt;=Calculator!C9,EDATE(Calculator!C10,72-1),"")</f>
        <v/>
      </c>
      <c r="D78" s="31">
        <f>IF(72&lt;=Calculator!C9,Calculator!C14,"")</f>
        <v/>
      </c>
      <c r="E78" s="31">
        <f>IF(72&lt;=Calculator!C9,G77*Calculator!C11,"")</f>
        <v/>
      </c>
      <c r="F78" s="31">
        <f>IF(72&lt;=Calculator!C9,D78-E78,"")</f>
        <v/>
      </c>
      <c r="G78" s="31">
        <f>IF(72&lt;=Calculator!C9,G77-F78,"")</f>
        <v/>
      </c>
    </row>
    <row r="79">
      <c r="B79" s="26">
        <f>IF(73&lt;=Calculator!C9,73,"")</f>
        <v/>
      </c>
      <c r="C79" s="27">
        <f>IF(73&lt;=Calculator!C9,EDATE(Calculator!C10,73-1),"")</f>
        <v/>
      </c>
      <c r="D79" s="28">
        <f>IF(73&lt;=Calculator!C9,Calculator!C14,"")</f>
        <v/>
      </c>
      <c r="E79" s="28">
        <f>IF(73&lt;=Calculator!C9,G78*Calculator!C11,"")</f>
        <v/>
      </c>
      <c r="F79" s="28">
        <f>IF(73&lt;=Calculator!C9,D79-E79,"")</f>
        <v/>
      </c>
      <c r="G79" s="28">
        <f>IF(73&lt;=Calculator!C9,G78-F79,"")</f>
        <v/>
      </c>
    </row>
    <row r="80">
      <c r="B80" s="29">
        <f>IF(74&lt;=Calculator!C9,74,"")</f>
        <v/>
      </c>
      <c r="C80" s="30">
        <f>IF(74&lt;=Calculator!C9,EDATE(Calculator!C10,74-1),"")</f>
        <v/>
      </c>
      <c r="D80" s="31">
        <f>IF(74&lt;=Calculator!C9,Calculator!C14,"")</f>
        <v/>
      </c>
      <c r="E80" s="31">
        <f>IF(74&lt;=Calculator!C9,G79*Calculator!C11,"")</f>
        <v/>
      </c>
      <c r="F80" s="31">
        <f>IF(74&lt;=Calculator!C9,D80-E80,"")</f>
        <v/>
      </c>
      <c r="G80" s="31">
        <f>IF(74&lt;=Calculator!C9,G79-F80,"")</f>
        <v/>
      </c>
    </row>
    <row r="81">
      <c r="B81" s="26">
        <f>IF(75&lt;=Calculator!C9,75,"")</f>
        <v/>
      </c>
      <c r="C81" s="27">
        <f>IF(75&lt;=Calculator!C9,EDATE(Calculator!C10,75-1),"")</f>
        <v/>
      </c>
      <c r="D81" s="28">
        <f>IF(75&lt;=Calculator!C9,Calculator!C14,"")</f>
        <v/>
      </c>
      <c r="E81" s="28">
        <f>IF(75&lt;=Calculator!C9,G80*Calculator!C11,"")</f>
        <v/>
      </c>
      <c r="F81" s="28">
        <f>IF(75&lt;=Calculator!C9,D81-E81,"")</f>
        <v/>
      </c>
      <c r="G81" s="28">
        <f>IF(75&lt;=Calculator!C9,G80-F81,"")</f>
        <v/>
      </c>
    </row>
    <row r="82">
      <c r="B82" s="29">
        <f>IF(76&lt;=Calculator!C9,76,"")</f>
        <v/>
      </c>
      <c r="C82" s="30">
        <f>IF(76&lt;=Calculator!C9,EDATE(Calculator!C10,76-1),"")</f>
        <v/>
      </c>
      <c r="D82" s="31">
        <f>IF(76&lt;=Calculator!C9,Calculator!C14,"")</f>
        <v/>
      </c>
      <c r="E82" s="31">
        <f>IF(76&lt;=Calculator!C9,G81*Calculator!C11,"")</f>
        <v/>
      </c>
      <c r="F82" s="31">
        <f>IF(76&lt;=Calculator!C9,D82-E82,"")</f>
        <v/>
      </c>
      <c r="G82" s="31">
        <f>IF(76&lt;=Calculator!C9,G81-F82,"")</f>
        <v/>
      </c>
    </row>
    <row r="83">
      <c r="B83" s="26">
        <f>IF(77&lt;=Calculator!C9,77,"")</f>
        <v/>
      </c>
      <c r="C83" s="27">
        <f>IF(77&lt;=Calculator!C9,EDATE(Calculator!C10,77-1),"")</f>
        <v/>
      </c>
      <c r="D83" s="28">
        <f>IF(77&lt;=Calculator!C9,Calculator!C14,"")</f>
        <v/>
      </c>
      <c r="E83" s="28">
        <f>IF(77&lt;=Calculator!C9,G82*Calculator!C11,"")</f>
        <v/>
      </c>
      <c r="F83" s="28">
        <f>IF(77&lt;=Calculator!C9,D83-E83,"")</f>
        <v/>
      </c>
      <c r="G83" s="28">
        <f>IF(77&lt;=Calculator!C9,G82-F83,"")</f>
        <v/>
      </c>
    </row>
    <row r="84">
      <c r="B84" s="29">
        <f>IF(78&lt;=Calculator!C9,78,"")</f>
        <v/>
      </c>
      <c r="C84" s="30">
        <f>IF(78&lt;=Calculator!C9,EDATE(Calculator!C10,78-1),"")</f>
        <v/>
      </c>
      <c r="D84" s="31">
        <f>IF(78&lt;=Calculator!C9,Calculator!C14,"")</f>
        <v/>
      </c>
      <c r="E84" s="31">
        <f>IF(78&lt;=Calculator!C9,G83*Calculator!C11,"")</f>
        <v/>
      </c>
      <c r="F84" s="31">
        <f>IF(78&lt;=Calculator!C9,D84-E84,"")</f>
        <v/>
      </c>
      <c r="G84" s="31">
        <f>IF(78&lt;=Calculator!C9,G83-F84,"")</f>
        <v/>
      </c>
    </row>
    <row r="85">
      <c r="B85" s="26">
        <f>IF(79&lt;=Calculator!C9,79,"")</f>
        <v/>
      </c>
      <c r="C85" s="27">
        <f>IF(79&lt;=Calculator!C9,EDATE(Calculator!C10,79-1),"")</f>
        <v/>
      </c>
      <c r="D85" s="28">
        <f>IF(79&lt;=Calculator!C9,Calculator!C14,"")</f>
        <v/>
      </c>
      <c r="E85" s="28">
        <f>IF(79&lt;=Calculator!C9,G84*Calculator!C11,"")</f>
        <v/>
      </c>
      <c r="F85" s="28">
        <f>IF(79&lt;=Calculator!C9,D85-E85,"")</f>
        <v/>
      </c>
      <c r="G85" s="28">
        <f>IF(79&lt;=Calculator!C9,G84-F85,"")</f>
        <v/>
      </c>
    </row>
    <row r="86">
      <c r="B86" s="29">
        <f>IF(80&lt;=Calculator!C9,80,"")</f>
        <v/>
      </c>
      <c r="C86" s="30">
        <f>IF(80&lt;=Calculator!C9,EDATE(Calculator!C10,80-1),"")</f>
        <v/>
      </c>
      <c r="D86" s="31">
        <f>IF(80&lt;=Calculator!C9,Calculator!C14,"")</f>
        <v/>
      </c>
      <c r="E86" s="31">
        <f>IF(80&lt;=Calculator!C9,G85*Calculator!C11,"")</f>
        <v/>
      </c>
      <c r="F86" s="31">
        <f>IF(80&lt;=Calculator!C9,D86-E86,"")</f>
        <v/>
      </c>
      <c r="G86" s="31">
        <f>IF(80&lt;=Calculator!C9,G85-F86,"")</f>
        <v/>
      </c>
    </row>
    <row r="87">
      <c r="B87" s="26">
        <f>IF(81&lt;=Calculator!C9,81,"")</f>
        <v/>
      </c>
      <c r="C87" s="27">
        <f>IF(81&lt;=Calculator!C9,EDATE(Calculator!C10,81-1),"")</f>
        <v/>
      </c>
      <c r="D87" s="28">
        <f>IF(81&lt;=Calculator!C9,Calculator!C14,"")</f>
        <v/>
      </c>
      <c r="E87" s="28">
        <f>IF(81&lt;=Calculator!C9,G86*Calculator!C11,"")</f>
        <v/>
      </c>
      <c r="F87" s="28">
        <f>IF(81&lt;=Calculator!C9,D87-E87,"")</f>
        <v/>
      </c>
      <c r="G87" s="28">
        <f>IF(81&lt;=Calculator!C9,G86-F87,"")</f>
        <v/>
      </c>
    </row>
    <row r="88">
      <c r="B88" s="29">
        <f>IF(82&lt;=Calculator!C9,82,"")</f>
        <v/>
      </c>
      <c r="C88" s="30">
        <f>IF(82&lt;=Calculator!C9,EDATE(Calculator!C10,82-1),"")</f>
        <v/>
      </c>
      <c r="D88" s="31">
        <f>IF(82&lt;=Calculator!C9,Calculator!C14,"")</f>
        <v/>
      </c>
      <c r="E88" s="31">
        <f>IF(82&lt;=Calculator!C9,G87*Calculator!C11,"")</f>
        <v/>
      </c>
      <c r="F88" s="31">
        <f>IF(82&lt;=Calculator!C9,D88-E88,"")</f>
        <v/>
      </c>
      <c r="G88" s="31">
        <f>IF(82&lt;=Calculator!C9,G87-F88,"")</f>
        <v/>
      </c>
    </row>
    <row r="89">
      <c r="B89" s="26">
        <f>IF(83&lt;=Calculator!C9,83,"")</f>
        <v/>
      </c>
      <c r="C89" s="27">
        <f>IF(83&lt;=Calculator!C9,EDATE(Calculator!C10,83-1),"")</f>
        <v/>
      </c>
      <c r="D89" s="28">
        <f>IF(83&lt;=Calculator!C9,Calculator!C14,"")</f>
        <v/>
      </c>
      <c r="E89" s="28">
        <f>IF(83&lt;=Calculator!C9,G88*Calculator!C11,"")</f>
        <v/>
      </c>
      <c r="F89" s="28">
        <f>IF(83&lt;=Calculator!C9,D89-E89,"")</f>
        <v/>
      </c>
      <c r="G89" s="28">
        <f>IF(83&lt;=Calculator!C9,G88-F89,"")</f>
        <v/>
      </c>
    </row>
    <row r="90">
      <c r="B90" s="29">
        <f>IF(84&lt;=Calculator!C9,84,"")</f>
        <v/>
      </c>
      <c r="C90" s="30">
        <f>IF(84&lt;=Calculator!C9,EDATE(Calculator!C10,84-1),"")</f>
        <v/>
      </c>
      <c r="D90" s="31">
        <f>IF(84&lt;=Calculator!C9,Calculator!C14,"")</f>
        <v/>
      </c>
      <c r="E90" s="31">
        <f>IF(84&lt;=Calculator!C9,G89*Calculator!C11,"")</f>
        <v/>
      </c>
      <c r="F90" s="31">
        <f>IF(84&lt;=Calculator!C9,D90-E90,"")</f>
        <v/>
      </c>
      <c r="G90" s="31">
        <f>IF(84&lt;=Calculator!C9,G89-F90,"")</f>
        <v/>
      </c>
    </row>
    <row r="91">
      <c r="B91" s="26">
        <f>IF(85&lt;=Calculator!C9,85,"")</f>
        <v/>
      </c>
      <c r="C91" s="27">
        <f>IF(85&lt;=Calculator!C9,EDATE(Calculator!C10,85-1),"")</f>
        <v/>
      </c>
      <c r="D91" s="28">
        <f>IF(85&lt;=Calculator!C9,Calculator!C14,"")</f>
        <v/>
      </c>
      <c r="E91" s="28">
        <f>IF(85&lt;=Calculator!C9,G90*Calculator!C11,"")</f>
        <v/>
      </c>
      <c r="F91" s="28">
        <f>IF(85&lt;=Calculator!C9,D91-E91,"")</f>
        <v/>
      </c>
      <c r="G91" s="28">
        <f>IF(85&lt;=Calculator!C9,G90-F91,"")</f>
        <v/>
      </c>
    </row>
    <row r="92">
      <c r="B92" s="29">
        <f>IF(86&lt;=Calculator!C9,86,"")</f>
        <v/>
      </c>
      <c r="C92" s="30">
        <f>IF(86&lt;=Calculator!C9,EDATE(Calculator!C10,86-1),"")</f>
        <v/>
      </c>
      <c r="D92" s="31">
        <f>IF(86&lt;=Calculator!C9,Calculator!C14,"")</f>
        <v/>
      </c>
      <c r="E92" s="31">
        <f>IF(86&lt;=Calculator!C9,G91*Calculator!C11,"")</f>
        <v/>
      </c>
      <c r="F92" s="31">
        <f>IF(86&lt;=Calculator!C9,D92-E92,"")</f>
        <v/>
      </c>
      <c r="G92" s="31">
        <f>IF(86&lt;=Calculator!C9,G91-F92,"")</f>
        <v/>
      </c>
    </row>
    <row r="93">
      <c r="B93" s="26">
        <f>IF(87&lt;=Calculator!C9,87,"")</f>
        <v/>
      </c>
      <c r="C93" s="27">
        <f>IF(87&lt;=Calculator!C9,EDATE(Calculator!C10,87-1),"")</f>
        <v/>
      </c>
      <c r="D93" s="28">
        <f>IF(87&lt;=Calculator!C9,Calculator!C14,"")</f>
        <v/>
      </c>
      <c r="E93" s="28">
        <f>IF(87&lt;=Calculator!C9,G92*Calculator!C11,"")</f>
        <v/>
      </c>
      <c r="F93" s="28">
        <f>IF(87&lt;=Calculator!C9,D93-E93,"")</f>
        <v/>
      </c>
      <c r="G93" s="28">
        <f>IF(87&lt;=Calculator!C9,G92-F93,"")</f>
        <v/>
      </c>
    </row>
    <row r="94">
      <c r="B94" s="29">
        <f>IF(88&lt;=Calculator!C9,88,"")</f>
        <v/>
      </c>
      <c r="C94" s="30">
        <f>IF(88&lt;=Calculator!C9,EDATE(Calculator!C10,88-1),"")</f>
        <v/>
      </c>
      <c r="D94" s="31">
        <f>IF(88&lt;=Calculator!C9,Calculator!C14,"")</f>
        <v/>
      </c>
      <c r="E94" s="31">
        <f>IF(88&lt;=Calculator!C9,G93*Calculator!C11,"")</f>
        <v/>
      </c>
      <c r="F94" s="31">
        <f>IF(88&lt;=Calculator!C9,D94-E94,"")</f>
        <v/>
      </c>
      <c r="G94" s="31">
        <f>IF(88&lt;=Calculator!C9,G93-F94,"")</f>
        <v/>
      </c>
    </row>
    <row r="95">
      <c r="B95" s="26">
        <f>IF(89&lt;=Calculator!C9,89,"")</f>
        <v/>
      </c>
      <c r="C95" s="27">
        <f>IF(89&lt;=Calculator!C9,EDATE(Calculator!C10,89-1),"")</f>
        <v/>
      </c>
      <c r="D95" s="28">
        <f>IF(89&lt;=Calculator!C9,Calculator!C14,"")</f>
        <v/>
      </c>
      <c r="E95" s="28">
        <f>IF(89&lt;=Calculator!C9,G94*Calculator!C11,"")</f>
        <v/>
      </c>
      <c r="F95" s="28">
        <f>IF(89&lt;=Calculator!C9,D95-E95,"")</f>
        <v/>
      </c>
      <c r="G95" s="28">
        <f>IF(89&lt;=Calculator!C9,G94-F95,"")</f>
        <v/>
      </c>
    </row>
    <row r="96">
      <c r="B96" s="29">
        <f>IF(90&lt;=Calculator!C9,90,"")</f>
        <v/>
      </c>
      <c r="C96" s="30">
        <f>IF(90&lt;=Calculator!C9,EDATE(Calculator!C10,90-1),"")</f>
        <v/>
      </c>
      <c r="D96" s="31">
        <f>IF(90&lt;=Calculator!C9,Calculator!C14,"")</f>
        <v/>
      </c>
      <c r="E96" s="31">
        <f>IF(90&lt;=Calculator!C9,G95*Calculator!C11,"")</f>
        <v/>
      </c>
      <c r="F96" s="31">
        <f>IF(90&lt;=Calculator!C9,D96-E96,"")</f>
        <v/>
      </c>
      <c r="G96" s="31">
        <f>IF(90&lt;=Calculator!C9,G95-F96,"")</f>
        <v/>
      </c>
    </row>
    <row r="97">
      <c r="B97" s="26">
        <f>IF(91&lt;=Calculator!C9,91,"")</f>
        <v/>
      </c>
      <c r="C97" s="27">
        <f>IF(91&lt;=Calculator!C9,EDATE(Calculator!C10,91-1),"")</f>
        <v/>
      </c>
      <c r="D97" s="28">
        <f>IF(91&lt;=Calculator!C9,Calculator!C14,"")</f>
        <v/>
      </c>
      <c r="E97" s="28">
        <f>IF(91&lt;=Calculator!C9,G96*Calculator!C11,"")</f>
        <v/>
      </c>
      <c r="F97" s="28">
        <f>IF(91&lt;=Calculator!C9,D97-E97,"")</f>
        <v/>
      </c>
      <c r="G97" s="28">
        <f>IF(91&lt;=Calculator!C9,G96-F97,"")</f>
        <v/>
      </c>
    </row>
    <row r="98">
      <c r="B98" s="29">
        <f>IF(92&lt;=Calculator!C9,92,"")</f>
        <v/>
      </c>
      <c r="C98" s="30">
        <f>IF(92&lt;=Calculator!C9,EDATE(Calculator!C10,92-1),"")</f>
        <v/>
      </c>
      <c r="D98" s="31">
        <f>IF(92&lt;=Calculator!C9,Calculator!C14,"")</f>
        <v/>
      </c>
      <c r="E98" s="31">
        <f>IF(92&lt;=Calculator!C9,G97*Calculator!C11,"")</f>
        <v/>
      </c>
      <c r="F98" s="31">
        <f>IF(92&lt;=Calculator!C9,D98-E98,"")</f>
        <v/>
      </c>
      <c r="G98" s="31">
        <f>IF(92&lt;=Calculator!C9,G97-F98,"")</f>
        <v/>
      </c>
    </row>
    <row r="99">
      <c r="B99" s="26">
        <f>IF(93&lt;=Calculator!C9,93,"")</f>
        <v/>
      </c>
      <c r="C99" s="27">
        <f>IF(93&lt;=Calculator!C9,EDATE(Calculator!C10,93-1),"")</f>
        <v/>
      </c>
      <c r="D99" s="28">
        <f>IF(93&lt;=Calculator!C9,Calculator!C14,"")</f>
        <v/>
      </c>
      <c r="E99" s="28">
        <f>IF(93&lt;=Calculator!C9,G98*Calculator!C11,"")</f>
        <v/>
      </c>
      <c r="F99" s="28">
        <f>IF(93&lt;=Calculator!C9,D99-E99,"")</f>
        <v/>
      </c>
      <c r="G99" s="28">
        <f>IF(93&lt;=Calculator!C9,G98-F99,"")</f>
        <v/>
      </c>
    </row>
    <row r="100">
      <c r="B100" s="29">
        <f>IF(94&lt;=Calculator!C9,94,"")</f>
        <v/>
      </c>
      <c r="C100" s="30">
        <f>IF(94&lt;=Calculator!C9,EDATE(Calculator!C10,94-1),"")</f>
        <v/>
      </c>
      <c r="D100" s="31">
        <f>IF(94&lt;=Calculator!C9,Calculator!C14,"")</f>
        <v/>
      </c>
      <c r="E100" s="31">
        <f>IF(94&lt;=Calculator!C9,G99*Calculator!C11,"")</f>
        <v/>
      </c>
      <c r="F100" s="31">
        <f>IF(94&lt;=Calculator!C9,D100-E100,"")</f>
        <v/>
      </c>
      <c r="G100" s="31">
        <f>IF(94&lt;=Calculator!C9,G99-F100,"")</f>
        <v/>
      </c>
    </row>
    <row r="101">
      <c r="B101" s="26">
        <f>IF(95&lt;=Calculator!C9,95,"")</f>
        <v/>
      </c>
      <c r="C101" s="27">
        <f>IF(95&lt;=Calculator!C9,EDATE(Calculator!C10,95-1),"")</f>
        <v/>
      </c>
      <c r="D101" s="28">
        <f>IF(95&lt;=Calculator!C9,Calculator!C14,"")</f>
        <v/>
      </c>
      <c r="E101" s="28">
        <f>IF(95&lt;=Calculator!C9,G100*Calculator!C11,"")</f>
        <v/>
      </c>
      <c r="F101" s="28">
        <f>IF(95&lt;=Calculator!C9,D101-E101,"")</f>
        <v/>
      </c>
      <c r="G101" s="28">
        <f>IF(95&lt;=Calculator!C9,G100-F101,"")</f>
        <v/>
      </c>
    </row>
    <row r="102">
      <c r="B102" s="29">
        <f>IF(96&lt;=Calculator!C9,96,"")</f>
        <v/>
      </c>
      <c r="C102" s="30">
        <f>IF(96&lt;=Calculator!C9,EDATE(Calculator!C10,96-1),"")</f>
        <v/>
      </c>
      <c r="D102" s="31">
        <f>IF(96&lt;=Calculator!C9,Calculator!C14,"")</f>
        <v/>
      </c>
      <c r="E102" s="31">
        <f>IF(96&lt;=Calculator!C9,G101*Calculator!C11,"")</f>
        <v/>
      </c>
      <c r="F102" s="31">
        <f>IF(96&lt;=Calculator!C9,D102-E102,"")</f>
        <v/>
      </c>
      <c r="G102" s="31">
        <f>IF(96&lt;=Calculator!C9,G101-F102,"")</f>
        <v/>
      </c>
    </row>
    <row r="103">
      <c r="B103" s="26">
        <f>IF(97&lt;=Calculator!C9,97,"")</f>
        <v/>
      </c>
      <c r="C103" s="27">
        <f>IF(97&lt;=Calculator!C9,EDATE(Calculator!C10,97-1),"")</f>
        <v/>
      </c>
      <c r="D103" s="28">
        <f>IF(97&lt;=Calculator!C9,Calculator!C14,"")</f>
        <v/>
      </c>
      <c r="E103" s="28">
        <f>IF(97&lt;=Calculator!C9,G102*Calculator!C11,"")</f>
        <v/>
      </c>
      <c r="F103" s="28">
        <f>IF(97&lt;=Calculator!C9,D103-E103,"")</f>
        <v/>
      </c>
      <c r="G103" s="28">
        <f>IF(97&lt;=Calculator!C9,G102-F103,"")</f>
        <v/>
      </c>
    </row>
    <row r="104">
      <c r="B104" s="29">
        <f>IF(98&lt;=Calculator!C9,98,"")</f>
        <v/>
      </c>
      <c r="C104" s="30">
        <f>IF(98&lt;=Calculator!C9,EDATE(Calculator!C10,98-1),"")</f>
        <v/>
      </c>
      <c r="D104" s="31">
        <f>IF(98&lt;=Calculator!C9,Calculator!C14,"")</f>
        <v/>
      </c>
      <c r="E104" s="31">
        <f>IF(98&lt;=Calculator!C9,G103*Calculator!C11,"")</f>
        <v/>
      </c>
      <c r="F104" s="31">
        <f>IF(98&lt;=Calculator!C9,D104-E104,"")</f>
        <v/>
      </c>
      <c r="G104" s="31">
        <f>IF(98&lt;=Calculator!C9,G103-F104,"")</f>
        <v/>
      </c>
    </row>
    <row r="105">
      <c r="B105" s="26">
        <f>IF(99&lt;=Calculator!C9,99,"")</f>
        <v/>
      </c>
      <c r="C105" s="27">
        <f>IF(99&lt;=Calculator!C9,EDATE(Calculator!C10,99-1),"")</f>
        <v/>
      </c>
      <c r="D105" s="28">
        <f>IF(99&lt;=Calculator!C9,Calculator!C14,"")</f>
        <v/>
      </c>
      <c r="E105" s="28">
        <f>IF(99&lt;=Calculator!C9,G104*Calculator!C11,"")</f>
        <v/>
      </c>
      <c r="F105" s="28">
        <f>IF(99&lt;=Calculator!C9,D105-E105,"")</f>
        <v/>
      </c>
      <c r="G105" s="28">
        <f>IF(99&lt;=Calculator!C9,G104-F105,"")</f>
        <v/>
      </c>
    </row>
    <row r="106">
      <c r="B106" s="29">
        <f>IF(100&lt;=Calculator!C9,100,"")</f>
        <v/>
      </c>
      <c r="C106" s="30">
        <f>IF(100&lt;=Calculator!C9,EDATE(Calculator!C10,100-1),"")</f>
        <v/>
      </c>
      <c r="D106" s="31">
        <f>IF(100&lt;=Calculator!C9,Calculator!C14,"")</f>
        <v/>
      </c>
      <c r="E106" s="31">
        <f>IF(100&lt;=Calculator!C9,G105*Calculator!C11,"")</f>
        <v/>
      </c>
      <c r="F106" s="31">
        <f>IF(100&lt;=Calculator!C9,D106-E106,"")</f>
        <v/>
      </c>
      <c r="G106" s="31">
        <f>IF(100&lt;=Calculator!C9,G105-F106,"")</f>
        <v/>
      </c>
    </row>
    <row r="107">
      <c r="B107" s="26">
        <f>IF(101&lt;=Calculator!C9,101,"")</f>
        <v/>
      </c>
      <c r="C107" s="27">
        <f>IF(101&lt;=Calculator!C9,EDATE(Calculator!C10,101-1),"")</f>
        <v/>
      </c>
      <c r="D107" s="28">
        <f>IF(101&lt;=Calculator!C9,Calculator!C14,"")</f>
        <v/>
      </c>
      <c r="E107" s="28">
        <f>IF(101&lt;=Calculator!C9,G106*Calculator!C11,"")</f>
        <v/>
      </c>
      <c r="F107" s="28">
        <f>IF(101&lt;=Calculator!C9,D107-E107,"")</f>
        <v/>
      </c>
      <c r="G107" s="28">
        <f>IF(101&lt;=Calculator!C9,G106-F107,"")</f>
        <v/>
      </c>
    </row>
    <row r="108">
      <c r="B108" s="29">
        <f>IF(102&lt;=Calculator!C9,102,"")</f>
        <v/>
      </c>
      <c r="C108" s="30">
        <f>IF(102&lt;=Calculator!C9,EDATE(Calculator!C10,102-1),"")</f>
        <v/>
      </c>
      <c r="D108" s="31">
        <f>IF(102&lt;=Calculator!C9,Calculator!C14,"")</f>
        <v/>
      </c>
      <c r="E108" s="31">
        <f>IF(102&lt;=Calculator!C9,G107*Calculator!C11,"")</f>
        <v/>
      </c>
      <c r="F108" s="31">
        <f>IF(102&lt;=Calculator!C9,D108-E108,"")</f>
        <v/>
      </c>
      <c r="G108" s="31">
        <f>IF(102&lt;=Calculator!C9,G107-F108,"")</f>
        <v/>
      </c>
    </row>
    <row r="109">
      <c r="B109" s="26">
        <f>IF(103&lt;=Calculator!C9,103,"")</f>
        <v/>
      </c>
      <c r="C109" s="27">
        <f>IF(103&lt;=Calculator!C9,EDATE(Calculator!C10,103-1),"")</f>
        <v/>
      </c>
      <c r="D109" s="28">
        <f>IF(103&lt;=Calculator!C9,Calculator!C14,"")</f>
        <v/>
      </c>
      <c r="E109" s="28">
        <f>IF(103&lt;=Calculator!C9,G108*Calculator!C11,"")</f>
        <v/>
      </c>
      <c r="F109" s="28">
        <f>IF(103&lt;=Calculator!C9,D109-E109,"")</f>
        <v/>
      </c>
      <c r="G109" s="28">
        <f>IF(103&lt;=Calculator!C9,G108-F109,"")</f>
        <v/>
      </c>
    </row>
    <row r="110">
      <c r="B110" s="29">
        <f>IF(104&lt;=Calculator!C9,104,"")</f>
        <v/>
      </c>
      <c r="C110" s="30">
        <f>IF(104&lt;=Calculator!C9,EDATE(Calculator!C10,104-1),"")</f>
        <v/>
      </c>
      <c r="D110" s="31">
        <f>IF(104&lt;=Calculator!C9,Calculator!C14,"")</f>
        <v/>
      </c>
      <c r="E110" s="31">
        <f>IF(104&lt;=Calculator!C9,G109*Calculator!C11,"")</f>
        <v/>
      </c>
      <c r="F110" s="31">
        <f>IF(104&lt;=Calculator!C9,D110-E110,"")</f>
        <v/>
      </c>
      <c r="G110" s="31">
        <f>IF(104&lt;=Calculator!C9,G109-F110,"")</f>
        <v/>
      </c>
    </row>
    <row r="111">
      <c r="B111" s="26">
        <f>IF(105&lt;=Calculator!C9,105,"")</f>
        <v/>
      </c>
      <c r="C111" s="27">
        <f>IF(105&lt;=Calculator!C9,EDATE(Calculator!C10,105-1),"")</f>
        <v/>
      </c>
      <c r="D111" s="28">
        <f>IF(105&lt;=Calculator!C9,Calculator!C14,"")</f>
        <v/>
      </c>
      <c r="E111" s="28">
        <f>IF(105&lt;=Calculator!C9,G110*Calculator!C11,"")</f>
        <v/>
      </c>
      <c r="F111" s="28">
        <f>IF(105&lt;=Calculator!C9,D111-E111,"")</f>
        <v/>
      </c>
      <c r="G111" s="28">
        <f>IF(105&lt;=Calculator!C9,G110-F111,"")</f>
        <v/>
      </c>
    </row>
    <row r="112">
      <c r="B112" s="29">
        <f>IF(106&lt;=Calculator!C9,106,"")</f>
        <v/>
      </c>
      <c r="C112" s="30">
        <f>IF(106&lt;=Calculator!C9,EDATE(Calculator!C10,106-1),"")</f>
        <v/>
      </c>
      <c r="D112" s="31">
        <f>IF(106&lt;=Calculator!C9,Calculator!C14,"")</f>
        <v/>
      </c>
      <c r="E112" s="31">
        <f>IF(106&lt;=Calculator!C9,G111*Calculator!C11,"")</f>
        <v/>
      </c>
      <c r="F112" s="31">
        <f>IF(106&lt;=Calculator!C9,D112-E112,"")</f>
        <v/>
      </c>
      <c r="G112" s="31">
        <f>IF(106&lt;=Calculator!C9,G111-F112,"")</f>
        <v/>
      </c>
    </row>
    <row r="113">
      <c r="B113" s="26">
        <f>IF(107&lt;=Calculator!C9,107,"")</f>
        <v/>
      </c>
      <c r="C113" s="27">
        <f>IF(107&lt;=Calculator!C9,EDATE(Calculator!C10,107-1),"")</f>
        <v/>
      </c>
      <c r="D113" s="28">
        <f>IF(107&lt;=Calculator!C9,Calculator!C14,"")</f>
        <v/>
      </c>
      <c r="E113" s="28">
        <f>IF(107&lt;=Calculator!C9,G112*Calculator!C11,"")</f>
        <v/>
      </c>
      <c r="F113" s="28">
        <f>IF(107&lt;=Calculator!C9,D113-E113,"")</f>
        <v/>
      </c>
      <c r="G113" s="28">
        <f>IF(107&lt;=Calculator!C9,G112-F113,"")</f>
        <v/>
      </c>
    </row>
    <row r="114">
      <c r="B114" s="29">
        <f>IF(108&lt;=Calculator!C9,108,"")</f>
        <v/>
      </c>
      <c r="C114" s="30">
        <f>IF(108&lt;=Calculator!C9,EDATE(Calculator!C10,108-1),"")</f>
        <v/>
      </c>
      <c r="D114" s="31">
        <f>IF(108&lt;=Calculator!C9,Calculator!C14,"")</f>
        <v/>
      </c>
      <c r="E114" s="31">
        <f>IF(108&lt;=Calculator!C9,G113*Calculator!C11,"")</f>
        <v/>
      </c>
      <c r="F114" s="31">
        <f>IF(108&lt;=Calculator!C9,D114-E114,"")</f>
        <v/>
      </c>
      <c r="G114" s="31">
        <f>IF(108&lt;=Calculator!C9,G113-F114,"")</f>
        <v/>
      </c>
    </row>
    <row r="115">
      <c r="B115" s="26">
        <f>IF(109&lt;=Calculator!C9,109,"")</f>
        <v/>
      </c>
      <c r="C115" s="27">
        <f>IF(109&lt;=Calculator!C9,EDATE(Calculator!C10,109-1),"")</f>
        <v/>
      </c>
      <c r="D115" s="28">
        <f>IF(109&lt;=Calculator!C9,Calculator!C14,"")</f>
        <v/>
      </c>
      <c r="E115" s="28">
        <f>IF(109&lt;=Calculator!C9,G114*Calculator!C11,"")</f>
        <v/>
      </c>
      <c r="F115" s="28">
        <f>IF(109&lt;=Calculator!C9,D115-E115,"")</f>
        <v/>
      </c>
      <c r="G115" s="28">
        <f>IF(109&lt;=Calculator!C9,G114-F115,"")</f>
        <v/>
      </c>
    </row>
    <row r="116">
      <c r="B116" s="29">
        <f>IF(110&lt;=Calculator!C9,110,"")</f>
        <v/>
      </c>
      <c r="C116" s="30">
        <f>IF(110&lt;=Calculator!C9,EDATE(Calculator!C10,110-1),"")</f>
        <v/>
      </c>
      <c r="D116" s="31">
        <f>IF(110&lt;=Calculator!C9,Calculator!C14,"")</f>
        <v/>
      </c>
      <c r="E116" s="31">
        <f>IF(110&lt;=Calculator!C9,G115*Calculator!C11,"")</f>
        <v/>
      </c>
      <c r="F116" s="31">
        <f>IF(110&lt;=Calculator!C9,D116-E116,"")</f>
        <v/>
      </c>
      <c r="G116" s="31">
        <f>IF(110&lt;=Calculator!C9,G115-F116,"")</f>
        <v/>
      </c>
    </row>
    <row r="117">
      <c r="B117" s="26">
        <f>IF(111&lt;=Calculator!C9,111,"")</f>
        <v/>
      </c>
      <c r="C117" s="27">
        <f>IF(111&lt;=Calculator!C9,EDATE(Calculator!C10,111-1),"")</f>
        <v/>
      </c>
      <c r="D117" s="28">
        <f>IF(111&lt;=Calculator!C9,Calculator!C14,"")</f>
        <v/>
      </c>
      <c r="E117" s="28">
        <f>IF(111&lt;=Calculator!C9,G116*Calculator!C11,"")</f>
        <v/>
      </c>
      <c r="F117" s="28">
        <f>IF(111&lt;=Calculator!C9,D117-E117,"")</f>
        <v/>
      </c>
      <c r="G117" s="28">
        <f>IF(111&lt;=Calculator!C9,G116-F117,"")</f>
        <v/>
      </c>
    </row>
    <row r="118">
      <c r="B118" s="29">
        <f>IF(112&lt;=Calculator!C9,112,"")</f>
        <v/>
      </c>
      <c r="C118" s="30">
        <f>IF(112&lt;=Calculator!C9,EDATE(Calculator!C10,112-1),"")</f>
        <v/>
      </c>
      <c r="D118" s="31">
        <f>IF(112&lt;=Calculator!C9,Calculator!C14,"")</f>
        <v/>
      </c>
      <c r="E118" s="31">
        <f>IF(112&lt;=Calculator!C9,G117*Calculator!C11,"")</f>
        <v/>
      </c>
      <c r="F118" s="31">
        <f>IF(112&lt;=Calculator!C9,D118-E118,"")</f>
        <v/>
      </c>
      <c r="G118" s="31">
        <f>IF(112&lt;=Calculator!C9,G117-F118,"")</f>
        <v/>
      </c>
    </row>
    <row r="119">
      <c r="B119" s="26">
        <f>IF(113&lt;=Calculator!C9,113,"")</f>
        <v/>
      </c>
      <c r="C119" s="27">
        <f>IF(113&lt;=Calculator!C9,EDATE(Calculator!C10,113-1),"")</f>
        <v/>
      </c>
      <c r="D119" s="28">
        <f>IF(113&lt;=Calculator!C9,Calculator!C14,"")</f>
        <v/>
      </c>
      <c r="E119" s="28">
        <f>IF(113&lt;=Calculator!C9,G118*Calculator!C11,"")</f>
        <v/>
      </c>
      <c r="F119" s="28">
        <f>IF(113&lt;=Calculator!C9,D119-E119,"")</f>
        <v/>
      </c>
      <c r="G119" s="28">
        <f>IF(113&lt;=Calculator!C9,G118-F119,"")</f>
        <v/>
      </c>
    </row>
    <row r="120">
      <c r="B120" s="29">
        <f>IF(114&lt;=Calculator!C9,114,"")</f>
        <v/>
      </c>
      <c r="C120" s="30">
        <f>IF(114&lt;=Calculator!C9,EDATE(Calculator!C10,114-1),"")</f>
        <v/>
      </c>
      <c r="D120" s="31">
        <f>IF(114&lt;=Calculator!C9,Calculator!C14,"")</f>
        <v/>
      </c>
      <c r="E120" s="31">
        <f>IF(114&lt;=Calculator!C9,G119*Calculator!C11,"")</f>
        <v/>
      </c>
      <c r="F120" s="31">
        <f>IF(114&lt;=Calculator!C9,D120-E120,"")</f>
        <v/>
      </c>
      <c r="G120" s="31">
        <f>IF(114&lt;=Calculator!C9,G119-F120,"")</f>
        <v/>
      </c>
    </row>
    <row r="121">
      <c r="B121" s="26">
        <f>IF(115&lt;=Calculator!C9,115,"")</f>
        <v/>
      </c>
      <c r="C121" s="27">
        <f>IF(115&lt;=Calculator!C9,EDATE(Calculator!C10,115-1),"")</f>
        <v/>
      </c>
      <c r="D121" s="28">
        <f>IF(115&lt;=Calculator!C9,Calculator!C14,"")</f>
        <v/>
      </c>
      <c r="E121" s="28">
        <f>IF(115&lt;=Calculator!C9,G120*Calculator!C11,"")</f>
        <v/>
      </c>
      <c r="F121" s="28">
        <f>IF(115&lt;=Calculator!C9,D121-E121,"")</f>
        <v/>
      </c>
      <c r="G121" s="28">
        <f>IF(115&lt;=Calculator!C9,G120-F121,"")</f>
        <v/>
      </c>
    </row>
    <row r="122">
      <c r="B122" s="29">
        <f>IF(116&lt;=Calculator!C9,116,"")</f>
        <v/>
      </c>
      <c r="C122" s="30">
        <f>IF(116&lt;=Calculator!C9,EDATE(Calculator!C10,116-1),"")</f>
        <v/>
      </c>
      <c r="D122" s="31">
        <f>IF(116&lt;=Calculator!C9,Calculator!C14,"")</f>
        <v/>
      </c>
      <c r="E122" s="31">
        <f>IF(116&lt;=Calculator!C9,G121*Calculator!C11,"")</f>
        <v/>
      </c>
      <c r="F122" s="31">
        <f>IF(116&lt;=Calculator!C9,D122-E122,"")</f>
        <v/>
      </c>
      <c r="G122" s="31">
        <f>IF(116&lt;=Calculator!C9,G121-F122,"")</f>
        <v/>
      </c>
    </row>
    <row r="123">
      <c r="B123" s="26">
        <f>IF(117&lt;=Calculator!C9,117,"")</f>
        <v/>
      </c>
      <c r="C123" s="27">
        <f>IF(117&lt;=Calculator!C9,EDATE(Calculator!C10,117-1),"")</f>
        <v/>
      </c>
      <c r="D123" s="28">
        <f>IF(117&lt;=Calculator!C9,Calculator!C14,"")</f>
        <v/>
      </c>
      <c r="E123" s="28">
        <f>IF(117&lt;=Calculator!C9,G122*Calculator!C11,"")</f>
        <v/>
      </c>
      <c r="F123" s="28">
        <f>IF(117&lt;=Calculator!C9,D123-E123,"")</f>
        <v/>
      </c>
      <c r="G123" s="28">
        <f>IF(117&lt;=Calculator!C9,G122-F123,"")</f>
        <v/>
      </c>
    </row>
    <row r="124">
      <c r="B124" s="29">
        <f>IF(118&lt;=Calculator!C9,118,"")</f>
        <v/>
      </c>
      <c r="C124" s="30">
        <f>IF(118&lt;=Calculator!C9,EDATE(Calculator!C10,118-1),"")</f>
        <v/>
      </c>
      <c r="D124" s="31">
        <f>IF(118&lt;=Calculator!C9,Calculator!C14,"")</f>
        <v/>
      </c>
      <c r="E124" s="31">
        <f>IF(118&lt;=Calculator!C9,G123*Calculator!C11,"")</f>
        <v/>
      </c>
      <c r="F124" s="31">
        <f>IF(118&lt;=Calculator!C9,D124-E124,"")</f>
        <v/>
      </c>
      <c r="G124" s="31">
        <f>IF(118&lt;=Calculator!C9,G123-F124,"")</f>
        <v/>
      </c>
    </row>
    <row r="125">
      <c r="B125" s="26">
        <f>IF(119&lt;=Calculator!C9,119,"")</f>
        <v/>
      </c>
      <c r="C125" s="27">
        <f>IF(119&lt;=Calculator!C9,EDATE(Calculator!C10,119-1),"")</f>
        <v/>
      </c>
      <c r="D125" s="28">
        <f>IF(119&lt;=Calculator!C9,Calculator!C14,"")</f>
        <v/>
      </c>
      <c r="E125" s="28">
        <f>IF(119&lt;=Calculator!C9,G124*Calculator!C11,"")</f>
        <v/>
      </c>
      <c r="F125" s="28">
        <f>IF(119&lt;=Calculator!C9,D125-E125,"")</f>
        <v/>
      </c>
      <c r="G125" s="28">
        <f>IF(119&lt;=Calculator!C9,G124-F125,"")</f>
        <v/>
      </c>
    </row>
    <row r="126">
      <c r="B126" s="29">
        <f>IF(120&lt;=Calculator!C9,120,"")</f>
        <v/>
      </c>
      <c r="C126" s="30">
        <f>IF(120&lt;=Calculator!C9,EDATE(Calculator!C10,120-1),"")</f>
        <v/>
      </c>
      <c r="D126" s="31">
        <f>IF(120&lt;=Calculator!C9,Calculator!C14,"")</f>
        <v/>
      </c>
      <c r="E126" s="31">
        <f>IF(120&lt;=Calculator!C9,G125*Calculator!C11,"")</f>
        <v/>
      </c>
      <c r="F126" s="31">
        <f>IF(120&lt;=Calculator!C9,D126-E126,"")</f>
        <v/>
      </c>
      <c r="G126" s="31">
        <f>IF(120&lt;=Calculator!C9,G125-F126,"")</f>
        <v/>
      </c>
    </row>
    <row r="127">
      <c r="B127" s="26">
        <f>IF(121&lt;=Calculator!C9,121,"")</f>
        <v/>
      </c>
      <c r="C127" s="27">
        <f>IF(121&lt;=Calculator!C9,EDATE(Calculator!C10,121-1),"")</f>
        <v/>
      </c>
      <c r="D127" s="28">
        <f>IF(121&lt;=Calculator!C9,Calculator!C14,"")</f>
        <v/>
      </c>
      <c r="E127" s="28">
        <f>IF(121&lt;=Calculator!C9,G126*Calculator!C11,"")</f>
        <v/>
      </c>
      <c r="F127" s="28">
        <f>IF(121&lt;=Calculator!C9,D127-E127,"")</f>
        <v/>
      </c>
      <c r="G127" s="28">
        <f>IF(121&lt;=Calculator!C9,G126-F127,"")</f>
        <v/>
      </c>
    </row>
    <row r="128">
      <c r="B128" s="29">
        <f>IF(122&lt;=Calculator!C9,122,"")</f>
        <v/>
      </c>
      <c r="C128" s="30">
        <f>IF(122&lt;=Calculator!C9,EDATE(Calculator!C10,122-1),"")</f>
        <v/>
      </c>
      <c r="D128" s="31">
        <f>IF(122&lt;=Calculator!C9,Calculator!C14,"")</f>
        <v/>
      </c>
      <c r="E128" s="31">
        <f>IF(122&lt;=Calculator!C9,G127*Calculator!C11,"")</f>
        <v/>
      </c>
      <c r="F128" s="31">
        <f>IF(122&lt;=Calculator!C9,D128-E128,"")</f>
        <v/>
      </c>
      <c r="G128" s="31">
        <f>IF(122&lt;=Calculator!C9,G127-F128,"")</f>
        <v/>
      </c>
    </row>
    <row r="129">
      <c r="B129" s="26">
        <f>IF(123&lt;=Calculator!C9,123,"")</f>
        <v/>
      </c>
      <c r="C129" s="27">
        <f>IF(123&lt;=Calculator!C9,EDATE(Calculator!C10,123-1),"")</f>
        <v/>
      </c>
      <c r="D129" s="28">
        <f>IF(123&lt;=Calculator!C9,Calculator!C14,"")</f>
        <v/>
      </c>
      <c r="E129" s="28">
        <f>IF(123&lt;=Calculator!C9,G128*Calculator!C11,"")</f>
        <v/>
      </c>
      <c r="F129" s="28">
        <f>IF(123&lt;=Calculator!C9,D129-E129,"")</f>
        <v/>
      </c>
      <c r="G129" s="28">
        <f>IF(123&lt;=Calculator!C9,G128-F129,"")</f>
        <v/>
      </c>
    </row>
    <row r="130">
      <c r="B130" s="29">
        <f>IF(124&lt;=Calculator!C9,124,"")</f>
        <v/>
      </c>
      <c r="C130" s="30">
        <f>IF(124&lt;=Calculator!C9,EDATE(Calculator!C10,124-1),"")</f>
        <v/>
      </c>
      <c r="D130" s="31">
        <f>IF(124&lt;=Calculator!C9,Calculator!C14,"")</f>
        <v/>
      </c>
      <c r="E130" s="31">
        <f>IF(124&lt;=Calculator!C9,G129*Calculator!C11,"")</f>
        <v/>
      </c>
      <c r="F130" s="31">
        <f>IF(124&lt;=Calculator!C9,D130-E130,"")</f>
        <v/>
      </c>
      <c r="G130" s="31">
        <f>IF(124&lt;=Calculator!C9,G129-F130,"")</f>
        <v/>
      </c>
    </row>
    <row r="131">
      <c r="B131" s="26">
        <f>IF(125&lt;=Calculator!C9,125,"")</f>
        <v/>
      </c>
      <c r="C131" s="27">
        <f>IF(125&lt;=Calculator!C9,EDATE(Calculator!C10,125-1),"")</f>
        <v/>
      </c>
      <c r="D131" s="28">
        <f>IF(125&lt;=Calculator!C9,Calculator!C14,"")</f>
        <v/>
      </c>
      <c r="E131" s="28">
        <f>IF(125&lt;=Calculator!C9,G130*Calculator!C11,"")</f>
        <v/>
      </c>
      <c r="F131" s="28">
        <f>IF(125&lt;=Calculator!C9,D131-E131,"")</f>
        <v/>
      </c>
      <c r="G131" s="28">
        <f>IF(125&lt;=Calculator!C9,G130-F131,"")</f>
        <v/>
      </c>
    </row>
    <row r="132">
      <c r="B132" s="29">
        <f>IF(126&lt;=Calculator!C9,126,"")</f>
        <v/>
      </c>
      <c r="C132" s="30">
        <f>IF(126&lt;=Calculator!C9,EDATE(Calculator!C10,126-1),"")</f>
        <v/>
      </c>
      <c r="D132" s="31">
        <f>IF(126&lt;=Calculator!C9,Calculator!C14,"")</f>
        <v/>
      </c>
      <c r="E132" s="31">
        <f>IF(126&lt;=Calculator!C9,G131*Calculator!C11,"")</f>
        <v/>
      </c>
      <c r="F132" s="31">
        <f>IF(126&lt;=Calculator!C9,D132-E132,"")</f>
        <v/>
      </c>
      <c r="G132" s="31">
        <f>IF(126&lt;=Calculator!C9,G131-F132,"")</f>
        <v/>
      </c>
    </row>
    <row r="133">
      <c r="B133" s="26">
        <f>IF(127&lt;=Calculator!C9,127,"")</f>
        <v/>
      </c>
      <c r="C133" s="27">
        <f>IF(127&lt;=Calculator!C9,EDATE(Calculator!C10,127-1),"")</f>
        <v/>
      </c>
      <c r="D133" s="28">
        <f>IF(127&lt;=Calculator!C9,Calculator!C14,"")</f>
        <v/>
      </c>
      <c r="E133" s="28">
        <f>IF(127&lt;=Calculator!C9,G132*Calculator!C11,"")</f>
        <v/>
      </c>
      <c r="F133" s="28">
        <f>IF(127&lt;=Calculator!C9,D133-E133,"")</f>
        <v/>
      </c>
      <c r="G133" s="28">
        <f>IF(127&lt;=Calculator!C9,G132-F133,"")</f>
        <v/>
      </c>
    </row>
    <row r="134">
      <c r="B134" s="29">
        <f>IF(128&lt;=Calculator!C9,128,"")</f>
        <v/>
      </c>
      <c r="C134" s="30">
        <f>IF(128&lt;=Calculator!C9,EDATE(Calculator!C10,128-1),"")</f>
        <v/>
      </c>
      <c r="D134" s="31">
        <f>IF(128&lt;=Calculator!C9,Calculator!C14,"")</f>
        <v/>
      </c>
      <c r="E134" s="31">
        <f>IF(128&lt;=Calculator!C9,G133*Calculator!C11,"")</f>
        <v/>
      </c>
      <c r="F134" s="31">
        <f>IF(128&lt;=Calculator!C9,D134-E134,"")</f>
        <v/>
      </c>
      <c r="G134" s="31">
        <f>IF(128&lt;=Calculator!C9,G133-F134,"")</f>
        <v/>
      </c>
    </row>
    <row r="135">
      <c r="B135" s="26">
        <f>IF(129&lt;=Calculator!C9,129,"")</f>
        <v/>
      </c>
      <c r="C135" s="27">
        <f>IF(129&lt;=Calculator!C9,EDATE(Calculator!C10,129-1),"")</f>
        <v/>
      </c>
      <c r="D135" s="28">
        <f>IF(129&lt;=Calculator!C9,Calculator!C14,"")</f>
        <v/>
      </c>
      <c r="E135" s="28">
        <f>IF(129&lt;=Calculator!C9,G134*Calculator!C11,"")</f>
        <v/>
      </c>
      <c r="F135" s="28">
        <f>IF(129&lt;=Calculator!C9,D135-E135,"")</f>
        <v/>
      </c>
      <c r="G135" s="28">
        <f>IF(129&lt;=Calculator!C9,G134-F135,"")</f>
        <v/>
      </c>
    </row>
    <row r="136">
      <c r="B136" s="29">
        <f>IF(130&lt;=Calculator!C9,130,"")</f>
        <v/>
      </c>
      <c r="C136" s="30">
        <f>IF(130&lt;=Calculator!C9,EDATE(Calculator!C10,130-1),"")</f>
        <v/>
      </c>
      <c r="D136" s="31">
        <f>IF(130&lt;=Calculator!C9,Calculator!C14,"")</f>
        <v/>
      </c>
      <c r="E136" s="31">
        <f>IF(130&lt;=Calculator!C9,G135*Calculator!C11,"")</f>
        <v/>
      </c>
      <c r="F136" s="31">
        <f>IF(130&lt;=Calculator!C9,D136-E136,"")</f>
        <v/>
      </c>
      <c r="G136" s="31">
        <f>IF(130&lt;=Calculator!C9,G135-F136,"")</f>
        <v/>
      </c>
    </row>
    <row r="137">
      <c r="B137" s="26">
        <f>IF(131&lt;=Calculator!C9,131,"")</f>
        <v/>
      </c>
      <c r="C137" s="27">
        <f>IF(131&lt;=Calculator!C9,EDATE(Calculator!C10,131-1),"")</f>
        <v/>
      </c>
      <c r="D137" s="28">
        <f>IF(131&lt;=Calculator!C9,Calculator!C14,"")</f>
        <v/>
      </c>
      <c r="E137" s="28">
        <f>IF(131&lt;=Calculator!C9,G136*Calculator!C11,"")</f>
        <v/>
      </c>
      <c r="F137" s="28">
        <f>IF(131&lt;=Calculator!C9,D137-E137,"")</f>
        <v/>
      </c>
      <c r="G137" s="28">
        <f>IF(131&lt;=Calculator!C9,G136-F137,"")</f>
        <v/>
      </c>
    </row>
    <row r="138">
      <c r="B138" s="29">
        <f>IF(132&lt;=Calculator!C9,132,"")</f>
        <v/>
      </c>
      <c r="C138" s="30">
        <f>IF(132&lt;=Calculator!C9,EDATE(Calculator!C10,132-1),"")</f>
        <v/>
      </c>
      <c r="D138" s="31">
        <f>IF(132&lt;=Calculator!C9,Calculator!C14,"")</f>
        <v/>
      </c>
      <c r="E138" s="31">
        <f>IF(132&lt;=Calculator!C9,G137*Calculator!C11,"")</f>
        <v/>
      </c>
      <c r="F138" s="31">
        <f>IF(132&lt;=Calculator!C9,D138-E138,"")</f>
        <v/>
      </c>
      <c r="G138" s="31">
        <f>IF(132&lt;=Calculator!C9,G137-F138,"")</f>
        <v/>
      </c>
    </row>
    <row r="139">
      <c r="B139" s="26">
        <f>IF(133&lt;=Calculator!C9,133,"")</f>
        <v/>
      </c>
      <c r="C139" s="27">
        <f>IF(133&lt;=Calculator!C9,EDATE(Calculator!C10,133-1),"")</f>
        <v/>
      </c>
      <c r="D139" s="28">
        <f>IF(133&lt;=Calculator!C9,Calculator!C14,"")</f>
        <v/>
      </c>
      <c r="E139" s="28">
        <f>IF(133&lt;=Calculator!C9,G138*Calculator!C11,"")</f>
        <v/>
      </c>
      <c r="F139" s="28">
        <f>IF(133&lt;=Calculator!C9,D139-E139,"")</f>
        <v/>
      </c>
      <c r="G139" s="28">
        <f>IF(133&lt;=Calculator!C9,G138-F139,"")</f>
        <v/>
      </c>
    </row>
    <row r="140">
      <c r="B140" s="29">
        <f>IF(134&lt;=Calculator!C9,134,"")</f>
        <v/>
      </c>
      <c r="C140" s="30">
        <f>IF(134&lt;=Calculator!C9,EDATE(Calculator!C10,134-1),"")</f>
        <v/>
      </c>
      <c r="D140" s="31">
        <f>IF(134&lt;=Calculator!C9,Calculator!C14,"")</f>
        <v/>
      </c>
      <c r="E140" s="31">
        <f>IF(134&lt;=Calculator!C9,G139*Calculator!C11,"")</f>
        <v/>
      </c>
      <c r="F140" s="31">
        <f>IF(134&lt;=Calculator!C9,D140-E140,"")</f>
        <v/>
      </c>
      <c r="G140" s="31">
        <f>IF(134&lt;=Calculator!C9,G139-F140,"")</f>
        <v/>
      </c>
    </row>
    <row r="141">
      <c r="B141" s="26">
        <f>IF(135&lt;=Calculator!C9,135,"")</f>
        <v/>
      </c>
      <c r="C141" s="27">
        <f>IF(135&lt;=Calculator!C9,EDATE(Calculator!C10,135-1),"")</f>
        <v/>
      </c>
      <c r="D141" s="28">
        <f>IF(135&lt;=Calculator!C9,Calculator!C14,"")</f>
        <v/>
      </c>
      <c r="E141" s="28">
        <f>IF(135&lt;=Calculator!C9,G140*Calculator!C11,"")</f>
        <v/>
      </c>
      <c r="F141" s="28">
        <f>IF(135&lt;=Calculator!C9,D141-E141,"")</f>
        <v/>
      </c>
      <c r="G141" s="28">
        <f>IF(135&lt;=Calculator!C9,G140-F141,"")</f>
        <v/>
      </c>
    </row>
    <row r="142">
      <c r="B142" s="29">
        <f>IF(136&lt;=Calculator!C9,136,"")</f>
        <v/>
      </c>
      <c r="C142" s="30">
        <f>IF(136&lt;=Calculator!C9,EDATE(Calculator!C10,136-1),"")</f>
        <v/>
      </c>
      <c r="D142" s="31">
        <f>IF(136&lt;=Calculator!C9,Calculator!C14,"")</f>
        <v/>
      </c>
      <c r="E142" s="31">
        <f>IF(136&lt;=Calculator!C9,G141*Calculator!C11,"")</f>
        <v/>
      </c>
      <c r="F142" s="31">
        <f>IF(136&lt;=Calculator!C9,D142-E142,"")</f>
        <v/>
      </c>
      <c r="G142" s="31">
        <f>IF(136&lt;=Calculator!C9,G141-F142,"")</f>
        <v/>
      </c>
    </row>
    <row r="143">
      <c r="B143" s="26">
        <f>IF(137&lt;=Calculator!C9,137,"")</f>
        <v/>
      </c>
      <c r="C143" s="27">
        <f>IF(137&lt;=Calculator!C9,EDATE(Calculator!C10,137-1),"")</f>
        <v/>
      </c>
      <c r="D143" s="28">
        <f>IF(137&lt;=Calculator!C9,Calculator!C14,"")</f>
        <v/>
      </c>
      <c r="E143" s="28">
        <f>IF(137&lt;=Calculator!C9,G142*Calculator!C11,"")</f>
        <v/>
      </c>
      <c r="F143" s="28">
        <f>IF(137&lt;=Calculator!C9,D143-E143,"")</f>
        <v/>
      </c>
      <c r="G143" s="28">
        <f>IF(137&lt;=Calculator!C9,G142-F143,"")</f>
        <v/>
      </c>
    </row>
    <row r="144">
      <c r="B144" s="29">
        <f>IF(138&lt;=Calculator!C9,138,"")</f>
        <v/>
      </c>
      <c r="C144" s="30">
        <f>IF(138&lt;=Calculator!C9,EDATE(Calculator!C10,138-1),"")</f>
        <v/>
      </c>
      <c r="D144" s="31">
        <f>IF(138&lt;=Calculator!C9,Calculator!C14,"")</f>
        <v/>
      </c>
      <c r="E144" s="31">
        <f>IF(138&lt;=Calculator!C9,G143*Calculator!C11,"")</f>
        <v/>
      </c>
      <c r="F144" s="31">
        <f>IF(138&lt;=Calculator!C9,D144-E144,"")</f>
        <v/>
      </c>
      <c r="G144" s="31">
        <f>IF(138&lt;=Calculator!C9,G143-F144,"")</f>
        <v/>
      </c>
    </row>
    <row r="145">
      <c r="B145" s="26">
        <f>IF(139&lt;=Calculator!C9,139,"")</f>
        <v/>
      </c>
      <c r="C145" s="27">
        <f>IF(139&lt;=Calculator!C9,EDATE(Calculator!C10,139-1),"")</f>
        <v/>
      </c>
      <c r="D145" s="28">
        <f>IF(139&lt;=Calculator!C9,Calculator!C14,"")</f>
        <v/>
      </c>
      <c r="E145" s="28">
        <f>IF(139&lt;=Calculator!C9,G144*Calculator!C11,"")</f>
        <v/>
      </c>
      <c r="F145" s="28">
        <f>IF(139&lt;=Calculator!C9,D145-E145,"")</f>
        <v/>
      </c>
      <c r="G145" s="28">
        <f>IF(139&lt;=Calculator!C9,G144-F145,"")</f>
        <v/>
      </c>
    </row>
    <row r="146">
      <c r="B146" s="29">
        <f>IF(140&lt;=Calculator!C9,140,"")</f>
        <v/>
      </c>
      <c r="C146" s="30">
        <f>IF(140&lt;=Calculator!C9,EDATE(Calculator!C10,140-1),"")</f>
        <v/>
      </c>
      <c r="D146" s="31">
        <f>IF(140&lt;=Calculator!C9,Calculator!C14,"")</f>
        <v/>
      </c>
      <c r="E146" s="31">
        <f>IF(140&lt;=Calculator!C9,G145*Calculator!C11,"")</f>
        <v/>
      </c>
      <c r="F146" s="31">
        <f>IF(140&lt;=Calculator!C9,D146-E146,"")</f>
        <v/>
      </c>
      <c r="G146" s="31">
        <f>IF(140&lt;=Calculator!C9,G145-F146,"")</f>
        <v/>
      </c>
    </row>
    <row r="147">
      <c r="B147" s="26">
        <f>IF(141&lt;=Calculator!C9,141,"")</f>
        <v/>
      </c>
      <c r="C147" s="27">
        <f>IF(141&lt;=Calculator!C9,EDATE(Calculator!C10,141-1),"")</f>
        <v/>
      </c>
      <c r="D147" s="28">
        <f>IF(141&lt;=Calculator!C9,Calculator!C14,"")</f>
        <v/>
      </c>
      <c r="E147" s="28">
        <f>IF(141&lt;=Calculator!C9,G146*Calculator!C11,"")</f>
        <v/>
      </c>
      <c r="F147" s="28">
        <f>IF(141&lt;=Calculator!C9,D147-E147,"")</f>
        <v/>
      </c>
      <c r="G147" s="28">
        <f>IF(141&lt;=Calculator!C9,G146-F147,"")</f>
        <v/>
      </c>
    </row>
    <row r="148">
      <c r="B148" s="29">
        <f>IF(142&lt;=Calculator!C9,142,"")</f>
        <v/>
      </c>
      <c r="C148" s="30">
        <f>IF(142&lt;=Calculator!C9,EDATE(Calculator!C10,142-1),"")</f>
        <v/>
      </c>
      <c r="D148" s="31">
        <f>IF(142&lt;=Calculator!C9,Calculator!C14,"")</f>
        <v/>
      </c>
      <c r="E148" s="31">
        <f>IF(142&lt;=Calculator!C9,G147*Calculator!C11,"")</f>
        <v/>
      </c>
      <c r="F148" s="31">
        <f>IF(142&lt;=Calculator!C9,D148-E148,"")</f>
        <v/>
      </c>
      <c r="G148" s="31">
        <f>IF(142&lt;=Calculator!C9,G147-F148,"")</f>
        <v/>
      </c>
    </row>
    <row r="149">
      <c r="B149" s="26">
        <f>IF(143&lt;=Calculator!C9,143,"")</f>
        <v/>
      </c>
      <c r="C149" s="27">
        <f>IF(143&lt;=Calculator!C9,EDATE(Calculator!C10,143-1),"")</f>
        <v/>
      </c>
      <c r="D149" s="28">
        <f>IF(143&lt;=Calculator!C9,Calculator!C14,"")</f>
        <v/>
      </c>
      <c r="E149" s="28">
        <f>IF(143&lt;=Calculator!C9,G148*Calculator!C11,"")</f>
        <v/>
      </c>
      <c r="F149" s="28">
        <f>IF(143&lt;=Calculator!C9,D149-E149,"")</f>
        <v/>
      </c>
      <c r="G149" s="28">
        <f>IF(143&lt;=Calculator!C9,G148-F149,"")</f>
        <v/>
      </c>
    </row>
    <row r="150">
      <c r="B150" s="29">
        <f>IF(144&lt;=Calculator!C9,144,"")</f>
        <v/>
      </c>
      <c r="C150" s="30">
        <f>IF(144&lt;=Calculator!C9,EDATE(Calculator!C10,144-1),"")</f>
        <v/>
      </c>
      <c r="D150" s="31">
        <f>IF(144&lt;=Calculator!C9,Calculator!C14,"")</f>
        <v/>
      </c>
      <c r="E150" s="31">
        <f>IF(144&lt;=Calculator!C9,G149*Calculator!C11,"")</f>
        <v/>
      </c>
      <c r="F150" s="31">
        <f>IF(144&lt;=Calculator!C9,D150-E150,"")</f>
        <v/>
      </c>
      <c r="G150" s="31">
        <f>IF(144&lt;=Calculator!C9,G149-F150,"")</f>
        <v/>
      </c>
    </row>
    <row r="151">
      <c r="B151" s="26">
        <f>IF(145&lt;=Calculator!C9,145,"")</f>
        <v/>
      </c>
      <c r="C151" s="27">
        <f>IF(145&lt;=Calculator!C9,EDATE(Calculator!C10,145-1),"")</f>
        <v/>
      </c>
      <c r="D151" s="28">
        <f>IF(145&lt;=Calculator!C9,Calculator!C14,"")</f>
        <v/>
      </c>
      <c r="E151" s="28">
        <f>IF(145&lt;=Calculator!C9,G150*Calculator!C11,"")</f>
        <v/>
      </c>
      <c r="F151" s="28">
        <f>IF(145&lt;=Calculator!C9,D151-E151,"")</f>
        <v/>
      </c>
      <c r="G151" s="28">
        <f>IF(145&lt;=Calculator!C9,G150-F151,"")</f>
        <v/>
      </c>
    </row>
    <row r="152">
      <c r="B152" s="29">
        <f>IF(146&lt;=Calculator!C9,146,"")</f>
        <v/>
      </c>
      <c r="C152" s="30">
        <f>IF(146&lt;=Calculator!C9,EDATE(Calculator!C10,146-1),"")</f>
        <v/>
      </c>
      <c r="D152" s="31">
        <f>IF(146&lt;=Calculator!C9,Calculator!C14,"")</f>
        <v/>
      </c>
      <c r="E152" s="31">
        <f>IF(146&lt;=Calculator!C9,G151*Calculator!C11,"")</f>
        <v/>
      </c>
      <c r="F152" s="31">
        <f>IF(146&lt;=Calculator!C9,D152-E152,"")</f>
        <v/>
      </c>
      <c r="G152" s="31">
        <f>IF(146&lt;=Calculator!C9,G151-F152,"")</f>
        <v/>
      </c>
    </row>
    <row r="153">
      <c r="B153" s="26">
        <f>IF(147&lt;=Calculator!C9,147,"")</f>
        <v/>
      </c>
      <c r="C153" s="27">
        <f>IF(147&lt;=Calculator!C9,EDATE(Calculator!C10,147-1),"")</f>
        <v/>
      </c>
      <c r="D153" s="28">
        <f>IF(147&lt;=Calculator!C9,Calculator!C14,"")</f>
        <v/>
      </c>
      <c r="E153" s="28">
        <f>IF(147&lt;=Calculator!C9,G152*Calculator!C11,"")</f>
        <v/>
      </c>
      <c r="F153" s="28">
        <f>IF(147&lt;=Calculator!C9,D153-E153,"")</f>
        <v/>
      </c>
      <c r="G153" s="28">
        <f>IF(147&lt;=Calculator!C9,G152-F153,"")</f>
        <v/>
      </c>
    </row>
    <row r="154">
      <c r="B154" s="29">
        <f>IF(148&lt;=Calculator!C9,148,"")</f>
        <v/>
      </c>
      <c r="C154" s="30">
        <f>IF(148&lt;=Calculator!C9,EDATE(Calculator!C10,148-1),"")</f>
        <v/>
      </c>
      <c r="D154" s="31">
        <f>IF(148&lt;=Calculator!C9,Calculator!C14,"")</f>
        <v/>
      </c>
      <c r="E154" s="31">
        <f>IF(148&lt;=Calculator!C9,G153*Calculator!C11,"")</f>
        <v/>
      </c>
      <c r="F154" s="31">
        <f>IF(148&lt;=Calculator!C9,D154-E154,"")</f>
        <v/>
      </c>
      <c r="G154" s="31">
        <f>IF(148&lt;=Calculator!C9,G153-F154,"")</f>
        <v/>
      </c>
    </row>
    <row r="155">
      <c r="B155" s="26">
        <f>IF(149&lt;=Calculator!C9,149,"")</f>
        <v/>
      </c>
      <c r="C155" s="27">
        <f>IF(149&lt;=Calculator!C9,EDATE(Calculator!C10,149-1),"")</f>
        <v/>
      </c>
      <c r="D155" s="28">
        <f>IF(149&lt;=Calculator!C9,Calculator!C14,"")</f>
        <v/>
      </c>
      <c r="E155" s="28">
        <f>IF(149&lt;=Calculator!C9,G154*Calculator!C11,"")</f>
        <v/>
      </c>
      <c r="F155" s="28">
        <f>IF(149&lt;=Calculator!C9,D155-E155,"")</f>
        <v/>
      </c>
      <c r="G155" s="28">
        <f>IF(149&lt;=Calculator!C9,G154-F155,"")</f>
        <v/>
      </c>
    </row>
    <row r="156">
      <c r="B156" s="29">
        <f>IF(150&lt;=Calculator!C9,150,"")</f>
        <v/>
      </c>
      <c r="C156" s="30">
        <f>IF(150&lt;=Calculator!C9,EDATE(Calculator!C10,150-1),"")</f>
        <v/>
      </c>
      <c r="D156" s="31">
        <f>IF(150&lt;=Calculator!C9,Calculator!C14,"")</f>
        <v/>
      </c>
      <c r="E156" s="31">
        <f>IF(150&lt;=Calculator!C9,G155*Calculator!C11,"")</f>
        <v/>
      </c>
      <c r="F156" s="31">
        <f>IF(150&lt;=Calculator!C9,D156-E156,"")</f>
        <v/>
      </c>
      <c r="G156" s="31">
        <f>IF(150&lt;=Calculator!C9,G155-F156,"")</f>
        <v/>
      </c>
    </row>
    <row r="157">
      <c r="B157" s="26">
        <f>IF(151&lt;=Calculator!C9,151,"")</f>
        <v/>
      </c>
      <c r="C157" s="27">
        <f>IF(151&lt;=Calculator!C9,EDATE(Calculator!C10,151-1),"")</f>
        <v/>
      </c>
      <c r="D157" s="28">
        <f>IF(151&lt;=Calculator!C9,Calculator!C14,"")</f>
        <v/>
      </c>
      <c r="E157" s="28">
        <f>IF(151&lt;=Calculator!C9,G156*Calculator!C11,"")</f>
        <v/>
      </c>
      <c r="F157" s="28">
        <f>IF(151&lt;=Calculator!C9,D157-E157,"")</f>
        <v/>
      </c>
      <c r="G157" s="28">
        <f>IF(151&lt;=Calculator!C9,G156-F157,"")</f>
        <v/>
      </c>
    </row>
    <row r="158">
      <c r="B158" s="29">
        <f>IF(152&lt;=Calculator!C9,152,"")</f>
        <v/>
      </c>
      <c r="C158" s="30">
        <f>IF(152&lt;=Calculator!C9,EDATE(Calculator!C10,152-1),"")</f>
        <v/>
      </c>
      <c r="D158" s="31">
        <f>IF(152&lt;=Calculator!C9,Calculator!C14,"")</f>
        <v/>
      </c>
      <c r="E158" s="31">
        <f>IF(152&lt;=Calculator!C9,G157*Calculator!C11,"")</f>
        <v/>
      </c>
      <c r="F158" s="31">
        <f>IF(152&lt;=Calculator!C9,D158-E158,"")</f>
        <v/>
      </c>
      <c r="G158" s="31">
        <f>IF(152&lt;=Calculator!C9,G157-F158,"")</f>
        <v/>
      </c>
    </row>
    <row r="159">
      <c r="B159" s="26">
        <f>IF(153&lt;=Calculator!C9,153,"")</f>
        <v/>
      </c>
      <c r="C159" s="27">
        <f>IF(153&lt;=Calculator!C9,EDATE(Calculator!C10,153-1),"")</f>
        <v/>
      </c>
      <c r="D159" s="28">
        <f>IF(153&lt;=Calculator!C9,Calculator!C14,"")</f>
        <v/>
      </c>
      <c r="E159" s="28">
        <f>IF(153&lt;=Calculator!C9,G158*Calculator!C11,"")</f>
        <v/>
      </c>
      <c r="F159" s="28">
        <f>IF(153&lt;=Calculator!C9,D159-E159,"")</f>
        <v/>
      </c>
      <c r="G159" s="28">
        <f>IF(153&lt;=Calculator!C9,G158-F159,"")</f>
        <v/>
      </c>
    </row>
    <row r="160">
      <c r="B160" s="29">
        <f>IF(154&lt;=Calculator!C9,154,"")</f>
        <v/>
      </c>
      <c r="C160" s="30">
        <f>IF(154&lt;=Calculator!C9,EDATE(Calculator!C10,154-1),"")</f>
        <v/>
      </c>
      <c r="D160" s="31">
        <f>IF(154&lt;=Calculator!C9,Calculator!C14,"")</f>
        <v/>
      </c>
      <c r="E160" s="31">
        <f>IF(154&lt;=Calculator!C9,G159*Calculator!C11,"")</f>
        <v/>
      </c>
      <c r="F160" s="31">
        <f>IF(154&lt;=Calculator!C9,D160-E160,"")</f>
        <v/>
      </c>
      <c r="G160" s="31">
        <f>IF(154&lt;=Calculator!C9,G159-F160,"")</f>
        <v/>
      </c>
    </row>
    <row r="161">
      <c r="B161" s="26">
        <f>IF(155&lt;=Calculator!C9,155,"")</f>
        <v/>
      </c>
      <c r="C161" s="27">
        <f>IF(155&lt;=Calculator!C9,EDATE(Calculator!C10,155-1),"")</f>
        <v/>
      </c>
      <c r="D161" s="28">
        <f>IF(155&lt;=Calculator!C9,Calculator!C14,"")</f>
        <v/>
      </c>
      <c r="E161" s="28">
        <f>IF(155&lt;=Calculator!C9,G160*Calculator!C11,"")</f>
        <v/>
      </c>
      <c r="F161" s="28">
        <f>IF(155&lt;=Calculator!C9,D161-E161,"")</f>
        <v/>
      </c>
      <c r="G161" s="28">
        <f>IF(155&lt;=Calculator!C9,G160-F161,"")</f>
        <v/>
      </c>
    </row>
    <row r="162">
      <c r="B162" s="29">
        <f>IF(156&lt;=Calculator!C9,156,"")</f>
        <v/>
      </c>
      <c r="C162" s="30">
        <f>IF(156&lt;=Calculator!C9,EDATE(Calculator!C10,156-1),"")</f>
        <v/>
      </c>
      <c r="D162" s="31">
        <f>IF(156&lt;=Calculator!C9,Calculator!C14,"")</f>
        <v/>
      </c>
      <c r="E162" s="31">
        <f>IF(156&lt;=Calculator!C9,G161*Calculator!C11,"")</f>
        <v/>
      </c>
      <c r="F162" s="31">
        <f>IF(156&lt;=Calculator!C9,D162-E162,"")</f>
        <v/>
      </c>
      <c r="G162" s="31">
        <f>IF(156&lt;=Calculator!C9,G161-F162,"")</f>
        <v/>
      </c>
    </row>
    <row r="163">
      <c r="B163" s="26">
        <f>IF(157&lt;=Calculator!C9,157,"")</f>
        <v/>
      </c>
      <c r="C163" s="27">
        <f>IF(157&lt;=Calculator!C9,EDATE(Calculator!C10,157-1),"")</f>
        <v/>
      </c>
      <c r="D163" s="28">
        <f>IF(157&lt;=Calculator!C9,Calculator!C14,"")</f>
        <v/>
      </c>
      <c r="E163" s="28">
        <f>IF(157&lt;=Calculator!C9,G162*Calculator!C11,"")</f>
        <v/>
      </c>
      <c r="F163" s="28">
        <f>IF(157&lt;=Calculator!C9,D163-E163,"")</f>
        <v/>
      </c>
      <c r="G163" s="28">
        <f>IF(157&lt;=Calculator!C9,G162-F163,"")</f>
        <v/>
      </c>
    </row>
    <row r="164">
      <c r="B164" s="29">
        <f>IF(158&lt;=Calculator!C9,158,"")</f>
        <v/>
      </c>
      <c r="C164" s="30">
        <f>IF(158&lt;=Calculator!C9,EDATE(Calculator!C10,158-1),"")</f>
        <v/>
      </c>
      <c r="D164" s="31">
        <f>IF(158&lt;=Calculator!C9,Calculator!C14,"")</f>
        <v/>
      </c>
      <c r="E164" s="31">
        <f>IF(158&lt;=Calculator!C9,G163*Calculator!C11,"")</f>
        <v/>
      </c>
      <c r="F164" s="31">
        <f>IF(158&lt;=Calculator!C9,D164-E164,"")</f>
        <v/>
      </c>
      <c r="G164" s="31">
        <f>IF(158&lt;=Calculator!C9,G163-F164,"")</f>
        <v/>
      </c>
    </row>
    <row r="165">
      <c r="B165" s="26">
        <f>IF(159&lt;=Calculator!C9,159,"")</f>
        <v/>
      </c>
      <c r="C165" s="27">
        <f>IF(159&lt;=Calculator!C9,EDATE(Calculator!C10,159-1),"")</f>
        <v/>
      </c>
      <c r="D165" s="28">
        <f>IF(159&lt;=Calculator!C9,Calculator!C14,"")</f>
        <v/>
      </c>
      <c r="E165" s="28">
        <f>IF(159&lt;=Calculator!C9,G164*Calculator!C11,"")</f>
        <v/>
      </c>
      <c r="F165" s="28">
        <f>IF(159&lt;=Calculator!C9,D165-E165,"")</f>
        <v/>
      </c>
      <c r="G165" s="28">
        <f>IF(159&lt;=Calculator!C9,G164-F165,"")</f>
        <v/>
      </c>
    </row>
    <row r="166">
      <c r="B166" s="29">
        <f>IF(160&lt;=Calculator!C9,160,"")</f>
        <v/>
      </c>
      <c r="C166" s="30">
        <f>IF(160&lt;=Calculator!C9,EDATE(Calculator!C10,160-1),"")</f>
        <v/>
      </c>
      <c r="D166" s="31">
        <f>IF(160&lt;=Calculator!C9,Calculator!C14,"")</f>
        <v/>
      </c>
      <c r="E166" s="31">
        <f>IF(160&lt;=Calculator!C9,G165*Calculator!C11,"")</f>
        <v/>
      </c>
      <c r="F166" s="31">
        <f>IF(160&lt;=Calculator!C9,D166-E166,"")</f>
        <v/>
      </c>
      <c r="G166" s="31">
        <f>IF(160&lt;=Calculator!C9,G165-F166,"")</f>
        <v/>
      </c>
    </row>
    <row r="167">
      <c r="B167" s="26">
        <f>IF(161&lt;=Calculator!C9,161,"")</f>
        <v/>
      </c>
      <c r="C167" s="27">
        <f>IF(161&lt;=Calculator!C9,EDATE(Calculator!C10,161-1),"")</f>
        <v/>
      </c>
      <c r="D167" s="28">
        <f>IF(161&lt;=Calculator!C9,Calculator!C14,"")</f>
        <v/>
      </c>
      <c r="E167" s="28">
        <f>IF(161&lt;=Calculator!C9,G166*Calculator!C11,"")</f>
        <v/>
      </c>
      <c r="F167" s="28">
        <f>IF(161&lt;=Calculator!C9,D167-E167,"")</f>
        <v/>
      </c>
      <c r="G167" s="28">
        <f>IF(161&lt;=Calculator!C9,G166-F167,"")</f>
        <v/>
      </c>
    </row>
    <row r="168">
      <c r="B168" s="29">
        <f>IF(162&lt;=Calculator!C9,162,"")</f>
        <v/>
      </c>
      <c r="C168" s="30">
        <f>IF(162&lt;=Calculator!C9,EDATE(Calculator!C10,162-1),"")</f>
        <v/>
      </c>
      <c r="D168" s="31">
        <f>IF(162&lt;=Calculator!C9,Calculator!C14,"")</f>
        <v/>
      </c>
      <c r="E168" s="31">
        <f>IF(162&lt;=Calculator!C9,G167*Calculator!C11,"")</f>
        <v/>
      </c>
      <c r="F168" s="31">
        <f>IF(162&lt;=Calculator!C9,D168-E168,"")</f>
        <v/>
      </c>
      <c r="G168" s="31">
        <f>IF(162&lt;=Calculator!C9,G167-F168,"")</f>
        <v/>
      </c>
    </row>
    <row r="169">
      <c r="B169" s="26">
        <f>IF(163&lt;=Calculator!C9,163,"")</f>
        <v/>
      </c>
      <c r="C169" s="27">
        <f>IF(163&lt;=Calculator!C9,EDATE(Calculator!C10,163-1),"")</f>
        <v/>
      </c>
      <c r="D169" s="28">
        <f>IF(163&lt;=Calculator!C9,Calculator!C14,"")</f>
        <v/>
      </c>
      <c r="E169" s="28">
        <f>IF(163&lt;=Calculator!C9,G168*Calculator!C11,"")</f>
        <v/>
      </c>
      <c r="F169" s="28">
        <f>IF(163&lt;=Calculator!C9,D169-E169,"")</f>
        <v/>
      </c>
      <c r="G169" s="28">
        <f>IF(163&lt;=Calculator!C9,G168-F169,"")</f>
        <v/>
      </c>
    </row>
    <row r="170">
      <c r="B170" s="29">
        <f>IF(164&lt;=Calculator!C9,164,"")</f>
        <v/>
      </c>
      <c r="C170" s="30">
        <f>IF(164&lt;=Calculator!C9,EDATE(Calculator!C10,164-1),"")</f>
        <v/>
      </c>
      <c r="D170" s="31">
        <f>IF(164&lt;=Calculator!C9,Calculator!C14,"")</f>
        <v/>
      </c>
      <c r="E170" s="31">
        <f>IF(164&lt;=Calculator!C9,G169*Calculator!C11,"")</f>
        <v/>
      </c>
      <c r="F170" s="31">
        <f>IF(164&lt;=Calculator!C9,D170-E170,"")</f>
        <v/>
      </c>
      <c r="G170" s="31">
        <f>IF(164&lt;=Calculator!C9,G169-F170,"")</f>
        <v/>
      </c>
    </row>
    <row r="171">
      <c r="B171" s="26">
        <f>IF(165&lt;=Calculator!C9,165,"")</f>
        <v/>
      </c>
      <c r="C171" s="27">
        <f>IF(165&lt;=Calculator!C9,EDATE(Calculator!C10,165-1),"")</f>
        <v/>
      </c>
      <c r="D171" s="28">
        <f>IF(165&lt;=Calculator!C9,Calculator!C14,"")</f>
        <v/>
      </c>
      <c r="E171" s="28">
        <f>IF(165&lt;=Calculator!C9,G170*Calculator!C11,"")</f>
        <v/>
      </c>
      <c r="F171" s="28">
        <f>IF(165&lt;=Calculator!C9,D171-E171,"")</f>
        <v/>
      </c>
      <c r="G171" s="28">
        <f>IF(165&lt;=Calculator!C9,G170-F171,"")</f>
        <v/>
      </c>
    </row>
    <row r="172">
      <c r="B172" s="29">
        <f>IF(166&lt;=Calculator!C9,166,"")</f>
        <v/>
      </c>
      <c r="C172" s="30">
        <f>IF(166&lt;=Calculator!C9,EDATE(Calculator!C10,166-1),"")</f>
        <v/>
      </c>
      <c r="D172" s="31">
        <f>IF(166&lt;=Calculator!C9,Calculator!C14,"")</f>
        <v/>
      </c>
      <c r="E172" s="31">
        <f>IF(166&lt;=Calculator!C9,G171*Calculator!C11,"")</f>
        <v/>
      </c>
      <c r="F172" s="31">
        <f>IF(166&lt;=Calculator!C9,D172-E172,"")</f>
        <v/>
      </c>
      <c r="G172" s="31">
        <f>IF(166&lt;=Calculator!C9,G171-F172,"")</f>
        <v/>
      </c>
    </row>
    <row r="173">
      <c r="B173" s="26">
        <f>IF(167&lt;=Calculator!C9,167,"")</f>
        <v/>
      </c>
      <c r="C173" s="27">
        <f>IF(167&lt;=Calculator!C9,EDATE(Calculator!C10,167-1),"")</f>
        <v/>
      </c>
      <c r="D173" s="28">
        <f>IF(167&lt;=Calculator!C9,Calculator!C14,"")</f>
        <v/>
      </c>
      <c r="E173" s="28">
        <f>IF(167&lt;=Calculator!C9,G172*Calculator!C11,"")</f>
        <v/>
      </c>
      <c r="F173" s="28">
        <f>IF(167&lt;=Calculator!C9,D173-E173,"")</f>
        <v/>
      </c>
      <c r="G173" s="28">
        <f>IF(167&lt;=Calculator!C9,G172-F173,"")</f>
        <v/>
      </c>
    </row>
    <row r="174">
      <c r="B174" s="29">
        <f>IF(168&lt;=Calculator!C9,168,"")</f>
        <v/>
      </c>
      <c r="C174" s="30">
        <f>IF(168&lt;=Calculator!C9,EDATE(Calculator!C10,168-1),"")</f>
        <v/>
      </c>
      <c r="D174" s="31">
        <f>IF(168&lt;=Calculator!C9,Calculator!C14,"")</f>
        <v/>
      </c>
      <c r="E174" s="31">
        <f>IF(168&lt;=Calculator!C9,G173*Calculator!C11,"")</f>
        <v/>
      </c>
      <c r="F174" s="31">
        <f>IF(168&lt;=Calculator!C9,D174-E174,"")</f>
        <v/>
      </c>
      <c r="G174" s="31">
        <f>IF(168&lt;=Calculator!C9,G173-F174,"")</f>
        <v/>
      </c>
    </row>
    <row r="175">
      <c r="B175" s="26">
        <f>IF(169&lt;=Calculator!C9,169,"")</f>
        <v/>
      </c>
      <c r="C175" s="27">
        <f>IF(169&lt;=Calculator!C9,EDATE(Calculator!C10,169-1),"")</f>
        <v/>
      </c>
      <c r="D175" s="28">
        <f>IF(169&lt;=Calculator!C9,Calculator!C14,"")</f>
        <v/>
      </c>
      <c r="E175" s="28">
        <f>IF(169&lt;=Calculator!C9,G174*Calculator!C11,"")</f>
        <v/>
      </c>
      <c r="F175" s="28">
        <f>IF(169&lt;=Calculator!C9,D175-E175,"")</f>
        <v/>
      </c>
      <c r="G175" s="28">
        <f>IF(169&lt;=Calculator!C9,G174-F175,"")</f>
        <v/>
      </c>
    </row>
    <row r="176">
      <c r="B176" s="29">
        <f>IF(170&lt;=Calculator!C9,170,"")</f>
        <v/>
      </c>
      <c r="C176" s="30">
        <f>IF(170&lt;=Calculator!C9,EDATE(Calculator!C10,170-1),"")</f>
        <v/>
      </c>
      <c r="D176" s="31">
        <f>IF(170&lt;=Calculator!C9,Calculator!C14,"")</f>
        <v/>
      </c>
      <c r="E176" s="31">
        <f>IF(170&lt;=Calculator!C9,G175*Calculator!C11,"")</f>
        <v/>
      </c>
      <c r="F176" s="31">
        <f>IF(170&lt;=Calculator!C9,D176-E176,"")</f>
        <v/>
      </c>
      <c r="G176" s="31">
        <f>IF(170&lt;=Calculator!C9,G175-F176,"")</f>
        <v/>
      </c>
    </row>
    <row r="177">
      <c r="B177" s="26">
        <f>IF(171&lt;=Calculator!C9,171,"")</f>
        <v/>
      </c>
      <c r="C177" s="27">
        <f>IF(171&lt;=Calculator!C9,EDATE(Calculator!C10,171-1),"")</f>
        <v/>
      </c>
      <c r="D177" s="28">
        <f>IF(171&lt;=Calculator!C9,Calculator!C14,"")</f>
        <v/>
      </c>
      <c r="E177" s="28">
        <f>IF(171&lt;=Calculator!C9,G176*Calculator!C11,"")</f>
        <v/>
      </c>
      <c r="F177" s="28">
        <f>IF(171&lt;=Calculator!C9,D177-E177,"")</f>
        <v/>
      </c>
      <c r="G177" s="28">
        <f>IF(171&lt;=Calculator!C9,G176-F177,"")</f>
        <v/>
      </c>
    </row>
    <row r="178">
      <c r="B178" s="29">
        <f>IF(172&lt;=Calculator!C9,172,"")</f>
        <v/>
      </c>
      <c r="C178" s="30">
        <f>IF(172&lt;=Calculator!C9,EDATE(Calculator!C10,172-1),"")</f>
        <v/>
      </c>
      <c r="D178" s="31">
        <f>IF(172&lt;=Calculator!C9,Calculator!C14,"")</f>
        <v/>
      </c>
      <c r="E178" s="31">
        <f>IF(172&lt;=Calculator!C9,G177*Calculator!C11,"")</f>
        <v/>
      </c>
      <c r="F178" s="31">
        <f>IF(172&lt;=Calculator!C9,D178-E178,"")</f>
        <v/>
      </c>
      <c r="G178" s="31">
        <f>IF(172&lt;=Calculator!C9,G177-F178,"")</f>
        <v/>
      </c>
    </row>
    <row r="179">
      <c r="B179" s="26">
        <f>IF(173&lt;=Calculator!C9,173,"")</f>
        <v/>
      </c>
      <c r="C179" s="27">
        <f>IF(173&lt;=Calculator!C9,EDATE(Calculator!C10,173-1),"")</f>
        <v/>
      </c>
      <c r="D179" s="28">
        <f>IF(173&lt;=Calculator!C9,Calculator!C14,"")</f>
        <v/>
      </c>
      <c r="E179" s="28">
        <f>IF(173&lt;=Calculator!C9,G178*Calculator!C11,"")</f>
        <v/>
      </c>
      <c r="F179" s="28">
        <f>IF(173&lt;=Calculator!C9,D179-E179,"")</f>
        <v/>
      </c>
      <c r="G179" s="28">
        <f>IF(173&lt;=Calculator!C9,G178-F179,"")</f>
        <v/>
      </c>
    </row>
    <row r="180">
      <c r="B180" s="29">
        <f>IF(174&lt;=Calculator!C9,174,"")</f>
        <v/>
      </c>
      <c r="C180" s="30">
        <f>IF(174&lt;=Calculator!C9,EDATE(Calculator!C10,174-1),"")</f>
        <v/>
      </c>
      <c r="D180" s="31">
        <f>IF(174&lt;=Calculator!C9,Calculator!C14,"")</f>
        <v/>
      </c>
      <c r="E180" s="31">
        <f>IF(174&lt;=Calculator!C9,G179*Calculator!C11,"")</f>
        <v/>
      </c>
      <c r="F180" s="31">
        <f>IF(174&lt;=Calculator!C9,D180-E180,"")</f>
        <v/>
      </c>
      <c r="G180" s="31">
        <f>IF(174&lt;=Calculator!C9,G179-F180,"")</f>
        <v/>
      </c>
    </row>
    <row r="181">
      <c r="B181" s="26">
        <f>IF(175&lt;=Calculator!C9,175,"")</f>
        <v/>
      </c>
      <c r="C181" s="27">
        <f>IF(175&lt;=Calculator!C9,EDATE(Calculator!C10,175-1),"")</f>
        <v/>
      </c>
      <c r="D181" s="28">
        <f>IF(175&lt;=Calculator!C9,Calculator!C14,"")</f>
        <v/>
      </c>
      <c r="E181" s="28">
        <f>IF(175&lt;=Calculator!C9,G180*Calculator!C11,"")</f>
        <v/>
      </c>
      <c r="F181" s="28">
        <f>IF(175&lt;=Calculator!C9,D181-E181,"")</f>
        <v/>
      </c>
      <c r="G181" s="28">
        <f>IF(175&lt;=Calculator!C9,G180-F181,"")</f>
        <v/>
      </c>
    </row>
    <row r="182">
      <c r="B182" s="29">
        <f>IF(176&lt;=Calculator!C9,176,"")</f>
        <v/>
      </c>
      <c r="C182" s="30">
        <f>IF(176&lt;=Calculator!C9,EDATE(Calculator!C10,176-1),"")</f>
        <v/>
      </c>
      <c r="D182" s="31">
        <f>IF(176&lt;=Calculator!C9,Calculator!C14,"")</f>
        <v/>
      </c>
      <c r="E182" s="31">
        <f>IF(176&lt;=Calculator!C9,G181*Calculator!C11,"")</f>
        <v/>
      </c>
      <c r="F182" s="31">
        <f>IF(176&lt;=Calculator!C9,D182-E182,"")</f>
        <v/>
      </c>
      <c r="G182" s="31">
        <f>IF(176&lt;=Calculator!C9,G181-F182,"")</f>
        <v/>
      </c>
    </row>
    <row r="183">
      <c r="B183" s="26">
        <f>IF(177&lt;=Calculator!C9,177,"")</f>
        <v/>
      </c>
      <c r="C183" s="27">
        <f>IF(177&lt;=Calculator!C9,EDATE(Calculator!C10,177-1),"")</f>
        <v/>
      </c>
      <c r="D183" s="28">
        <f>IF(177&lt;=Calculator!C9,Calculator!C14,"")</f>
        <v/>
      </c>
      <c r="E183" s="28">
        <f>IF(177&lt;=Calculator!C9,G182*Calculator!C11,"")</f>
        <v/>
      </c>
      <c r="F183" s="28">
        <f>IF(177&lt;=Calculator!C9,D183-E183,"")</f>
        <v/>
      </c>
      <c r="G183" s="28">
        <f>IF(177&lt;=Calculator!C9,G182-F183,"")</f>
        <v/>
      </c>
    </row>
    <row r="184">
      <c r="B184" s="29">
        <f>IF(178&lt;=Calculator!C9,178,"")</f>
        <v/>
      </c>
      <c r="C184" s="30">
        <f>IF(178&lt;=Calculator!C9,EDATE(Calculator!C10,178-1),"")</f>
        <v/>
      </c>
      <c r="D184" s="31">
        <f>IF(178&lt;=Calculator!C9,Calculator!C14,"")</f>
        <v/>
      </c>
      <c r="E184" s="31">
        <f>IF(178&lt;=Calculator!C9,G183*Calculator!C11,"")</f>
        <v/>
      </c>
      <c r="F184" s="31">
        <f>IF(178&lt;=Calculator!C9,D184-E184,"")</f>
        <v/>
      </c>
      <c r="G184" s="31">
        <f>IF(178&lt;=Calculator!C9,G183-F184,"")</f>
        <v/>
      </c>
    </row>
    <row r="185">
      <c r="B185" s="26">
        <f>IF(179&lt;=Calculator!C9,179,"")</f>
        <v/>
      </c>
      <c r="C185" s="27">
        <f>IF(179&lt;=Calculator!C9,EDATE(Calculator!C10,179-1),"")</f>
        <v/>
      </c>
      <c r="D185" s="28">
        <f>IF(179&lt;=Calculator!C9,Calculator!C14,"")</f>
        <v/>
      </c>
      <c r="E185" s="28">
        <f>IF(179&lt;=Calculator!C9,G184*Calculator!C11,"")</f>
        <v/>
      </c>
      <c r="F185" s="28">
        <f>IF(179&lt;=Calculator!C9,D185-E185,"")</f>
        <v/>
      </c>
      <c r="G185" s="28">
        <f>IF(179&lt;=Calculator!C9,G184-F185,"")</f>
        <v/>
      </c>
    </row>
    <row r="186">
      <c r="B186" s="29">
        <f>IF(180&lt;=Calculator!C9,180,"")</f>
        <v/>
      </c>
      <c r="C186" s="30">
        <f>IF(180&lt;=Calculator!C9,EDATE(Calculator!C10,180-1),"")</f>
        <v/>
      </c>
      <c r="D186" s="31">
        <f>IF(180&lt;=Calculator!C9,Calculator!C14,"")</f>
        <v/>
      </c>
      <c r="E186" s="31">
        <f>IF(180&lt;=Calculator!C9,G185*Calculator!C11,"")</f>
        <v/>
      </c>
      <c r="F186" s="31">
        <f>IF(180&lt;=Calculator!C9,D186-E186,"")</f>
        <v/>
      </c>
      <c r="G186" s="31">
        <f>IF(180&lt;=Calculator!C9,G185-F186,"")</f>
        <v/>
      </c>
    </row>
    <row r="187">
      <c r="B187" s="26">
        <f>IF(181&lt;=Calculator!C9,181,"")</f>
        <v/>
      </c>
      <c r="C187" s="27">
        <f>IF(181&lt;=Calculator!C9,EDATE(Calculator!C10,181-1),"")</f>
        <v/>
      </c>
      <c r="D187" s="28">
        <f>IF(181&lt;=Calculator!C9,Calculator!C14,"")</f>
        <v/>
      </c>
      <c r="E187" s="28">
        <f>IF(181&lt;=Calculator!C9,G186*Calculator!C11,"")</f>
        <v/>
      </c>
      <c r="F187" s="28">
        <f>IF(181&lt;=Calculator!C9,D187-E187,"")</f>
        <v/>
      </c>
      <c r="G187" s="28">
        <f>IF(181&lt;=Calculator!C9,G186-F187,"")</f>
        <v/>
      </c>
    </row>
    <row r="188">
      <c r="B188" s="29">
        <f>IF(182&lt;=Calculator!C9,182,"")</f>
        <v/>
      </c>
      <c r="C188" s="30">
        <f>IF(182&lt;=Calculator!C9,EDATE(Calculator!C10,182-1),"")</f>
        <v/>
      </c>
      <c r="D188" s="31">
        <f>IF(182&lt;=Calculator!C9,Calculator!C14,"")</f>
        <v/>
      </c>
      <c r="E188" s="31">
        <f>IF(182&lt;=Calculator!C9,G187*Calculator!C11,"")</f>
        <v/>
      </c>
      <c r="F188" s="31">
        <f>IF(182&lt;=Calculator!C9,D188-E188,"")</f>
        <v/>
      </c>
      <c r="G188" s="31">
        <f>IF(182&lt;=Calculator!C9,G187-F188,"")</f>
        <v/>
      </c>
    </row>
    <row r="189">
      <c r="B189" s="26">
        <f>IF(183&lt;=Calculator!C9,183,"")</f>
        <v/>
      </c>
      <c r="C189" s="27">
        <f>IF(183&lt;=Calculator!C9,EDATE(Calculator!C10,183-1),"")</f>
        <v/>
      </c>
      <c r="D189" s="28">
        <f>IF(183&lt;=Calculator!C9,Calculator!C14,"")</f>
        <v/>
      </c>
      <c r="E189" s="28">
        <f>IF(183&lt;=Calculator!C9,G188*Calculator!C11,"")</f>
        <v/>
      </c>
      <c r="F189" s="28">
        <f>IF(183&lt;=Calculator!C9,D189-E189,"")</f>
        <v/>
      </c>
      <c r="G189" s="28">
        <f>IF(183&lt;=Calculator!C9,G188-F189,"")</f>
        <v/>
      </c>
    </row>
    <row r="190">
      <c r="B190" s="29">
        <f>IF(184&lt;=Calculator!C9,184,"")</f>
        <v/>
      </c>
      <c r="C190" s="30">
        <f>IF(184&lt;=Calculator!C9,EDATE(Calculator!C10,184-1),"")</f>
        <v/>
      </c>
      <c r="D190" s="31">
        <f>IF(184&lt;=Calculator!C9,Calculator!C14,"")</f>
        <v/>
      </c>
      <c r="E190" s="31">
        <f>IF(184&lt;=Calculator!C9,G189*Calculator!C11,"")</f>
        <v/>
      </c>
      <c r="F190" s="31">
        <f>IF(184&lt;=Calculator!C9,D190-E190,"")</f>
        <v/>
      </c>
      <c r="G190" s="31">
        <f>IF(184&lt;=Calculator!C9,G189-F190,"")</f>
        <v/>
      </c>
    </row>
    <row r="191">
      <c r="B191" s="26">
        <f>IF(185&lt;=Calculator!C9,185,"")</f>
        <v/>
      </c>
      <c r="C191" s="27">
        <f>IF(185&lt;=Calculator!C9,EDATE(Calculator!C10,185-1),"")</f>
        <v/>
      </c>
      <c r="D191" s="28">
        <f>IF(185&lt;=Calculator!C9,Calculator!C14,"")</f>
        <v/>
      </c>
      <c r="E191" s="28">
        <f>IF(185&lt;=Calculator!C9,G190*Calculator!C11,"")</f>
        <v/>
      </c>
      <c r="F191" s="28">
        <f>IF(185&lt;=Calculator!C9,D191-E191,"")</f>
        <v/>
      </c>
      <c r="G191" s="28">
        <f>IF(185&lt;=Calculator!C9,G190-F191,"")</f>
        <v/>
      </c>
    </row>
    <row r="192">
      <c r="B192" s="29">
        <f>IF(186&lt;=Calculator!C9,186,"")</f>
        <v/>
      </c>
      <c r="C192" s="30">
        <f>IF(186&lt;=Calculator!C9,EDATE(Calculator!C10,186-1),"")</f>
        <v/>
      </c>
      <c r="D192" s="31">
        <f>IF(186&lt;=Calculator!C9,Calculator!C14,"")</f>
        <v/>
      </c>
      <c r="E192" s="31">
        <f>IF(186&lt;=Calculator!C9,G191*Calculator!C11,"")</f>
        <v/>
      </c>
      <c r="F192" s="31">
        <f>IF(186&lt;=Calculator!C9,D192-E192,"")</f>
        <v/>
      </c>
      <c r="G192" s="31">
        <f>IF(186&lt;=Calculator!C9,G191-F192,"")</f>
        <v/>
      </c>
    </row>
    <row r="193">
      <c r="B193" s="26">
        <f>IF(187&lt;=Calculator!C9,187,"")</f>
        <v/>
      </c>
      <c r="C193" s="27">
        <f>IF(187&lt;=Calculator!C9,EDATE(Calculator!C10,187-1),"")</f>
        <v/>
      </c>
      <c r="D193" s="28">
        <f>IF(187&lt;=Calculator!C9,Calculator!C14,"")</f>
        <v/>
      </c>
      <c r="E193" s="28">
        <f>IF(187&lt;=Calculator!C9,G192*Calculator!C11,"")</f>
        <v/>
      </c>
      <c r="F193" s="28">
        <f>IF(187&lt;=Calculator!C9,D193-E193,"")</f>
        <v/>
      </c>
      <c r="G193" s="28">
        <f>IF(187&lt;=Calculator!C9,G192-F193,"")</f>
        <v/>
      </c>
    </row>
    <row r="194">
      <c r="B194" s="29">
        <f>IF(188&lt;=Calculator!C9,188,"")</f>
        <v/>
      </c>
      <c r="C194" s="30">
        <f>IF(188&lt;=Calculator!C9,EDATE(Calculator!C10,188-1),"")</f>
        <v/>
      </c>
      <c r="D194" s="31">
        <f>IF(188&lt;=Calculator!C9,Calculator!C14,"")</f>
        <v/>
      </c>
      <c r="E194" s="31">
        <f>IF(188&lt;=Calculator!C9,G193*Calculator!C11,"")</f>
        <v/>
      </c>
      <c r="F194" s="31">
        <f>IF(188&lt;=Calculator!C9,D194-E194,"")</f>
        <v/>
      </c>
      <c r="G194" s="31">
        <f>IF(188&lt;=Calculator!C9,G193-F194,"")</f>
        <v/>
      </c>
    </row>
    <row r="195">
      <c r="B195" s="26">
        <f>IF(189&lt;=Calculator!C9,189,"")</f>
        <v/>
      </c>
      <c r="C195" s="27">
        <f>IF(189&lt;=Calculator!C9,EDATE(Calculator!C10,189-1),"")</f>
        <v/>
      </c>
      <c r="D195" s="28">
        <f>IF(189&lt;=Calculator!C9,Calculator!C14,"")</f>
        <v/>
      </c>
      <c r="E195" s="28">
        <f>IF(189&lt;=Calculator!C9,G194*Calculator!C11,"")</f>
        <v/>
      </c>
      <c r="F195" s="28">
        <f>IF(189&lt;=Calculator!C9,D195-E195,"")</f>
        <v/>
      </c>
      <c r="G195" s="28">
        <f>IF(189&lt;=Calculator!C9,G194-F195,"")</f>
        <v/>
      </c>
    </row>
    <row r="196">
      <c r="B196" s="29">
        <f>IF(190&lt;=Calculator!C9,190,"")</f>
        <v/>
      </c>
      <c r="C196" s="30">
        <f>IF(190&lt;=Calculator!C9,EDATE(Calculator!C10,190-1),"")</f>
        <v/>
      </c>
      <c r="D196" s="31">
        <f>IF(190&lt;=Calculator!C9,Calculator!C14,"")</f>
        <v/>
      </c>
      <c r="E196" s="31">
        <f>IF(190&lt;=Calculator!C9,G195*Calculator!C11,"")</f>
        <v/>
      </c>
      <c r="F196" s="31">
        <f>IF(190&lt;=Calculator!C9,D196-E196,"")</f>
        <v/>
      </c>
      <c r="G196" s="31">
        <f>IF(190&lt;=Calculator!C9,G195-F196,"")</f>
        <v/>
      </c>
    </row>
    <row r="197">
      <c r="B197" s="26">
        <f>IF(191&lt;=Calculator!C9,191,"")</f>
        <v/>
      </c>
      <c r="C197" s="27">
        <f>IF(191&lt;=Calculator!C9,EDATE(Calculator!C10,191-1),"")</f>
        <v/>
      </c>
      <c r="D197" s="28">
        <f>IF(191&lt;=Calculator!C9,Calculator!C14,"")</f>
        <v/>
      </c>
      <c r="E197" s="28">
        <f>IF(191&lt;=Calculator!C9,G196*Calculator!C11,"")</f>
        <v/>
      </c>
      <c r="F197" s="28">
        <f>IF(191&lt;=Calculator!C9,D197-E197,"")</f>
        <v/>
      </c>
      <c r="G197" s="28">
        <f>IF(191&lt;=Calculator!C9,G196-F197,"")</f>
        <v/>
      </c>
    </row>
    <row r="198">
      <c r="B198" s="29">
        <f>IF(192&lt;=Calculator!C9,192,"")</f>
        <v/>
      </c>
      <c r="C198" s="30">
        <f>IF(192&lt;=Calculator!C9,EDATE(Calculator!C10,192-1),"")</f>
        <v/>
      </c>
      <c r="D198" s="31">
        <f>IF(192&lt;=Calculator!C9,Calculator!C14,"")</f>
        <v/>
      </c>
      <c r="E198" s="31">
        <f>IF(192&lt;=Calculator!C9,G197*Calculator!C11,"")</f>
        <v/>
      </c>
      <c r="F198" s="31">
        <f>IF(192&lt;=Calculator!C9,D198-E198,"")</f>
        <v/>
      </c>
      <c r="G198" s="31">
        <f>IF(192&lt;=Calculator!C9,G197-F198,"")</f>
        <v/>
      </c>
    </row>
    <row r="199">
      <c r="B199" s="26">
        <f>IF(193&lt;=Calculator!C9,193,"")</f>
        <v/>
      </c>
      <c r="C199" s="27">
        <f>IF(193&lt;=Calculator!C9,EDATE(Calculator!C10,193-1),"")</f>
        <v/>
      </c>
      <c r="D199" s="28">
        <f>IF(193&lt;=Calculator!C9,Calculator!C14,"")</f>
        <v/>
      </c>
      <c r="E199" s="28">
        <f>IF(193&lt;=Calculator!C9,G198*Calculator!C11,"")</f>
        <v/>
      </c>
      <c r="F199" s="28">
        <f>IF(193&lt;=Calculator!C9,D199-E199,"")</f>
        <v/>
      </c>
      <c r="G199" s="28">
        <f>IF(193&lt;=Calculator!C9,G198-F199,"")</f>
        <v/>
      </c>
    </row>
    <row r="200">
      <c r="B200" s="29">
        <f>IF(194&lt;=Calculator!C9,194,"")</f>
        <v/>
      </c>
      <c r="C200" s="30">
        <f>IF(194&lt;=Calculator!C9,EDATE(Calculator!C10,194-1),"")</f>
        <v/>
      </c>
      <c r="D200" s="31">
        <f>IF(194&lt;=Calculator!C9,Calculator!C14,"")</f>
        <v/>
      </c>
      <c r="E200" s="31">
        <f>IF(194&lt;=Calculator!C9,G199*Calculator!C11,"")</f>
        <v/>
      </c>
      <c r="F200" s="31">
        <f>IF(194&lt;=Calculator!C9,D200-E200,"")</f>
        <v/>
      </c>
      <c r="G200" s="31">
        <f>IF(194&lt;=Calculator!C9,G199-F200,"")</f>
        <v/>
      </c>
    </row>
    <row r="201">
      <c r="B201" s="26">
        <f>IF(195&lt;=Calculator!C9,195,"")</f>
        <v/>
      </c>
      <c r="C201" s="27">
        <f>IF(195&lt;=Calculator!C9,EDATE(Calculator!C10,195-1),"")</f>
        <v/>
      </c>
      <c r="D201" s="28">
        <f>IF(195&lt;=Calculator!C9,Calculator!C14,"")</f>
        <v/>
      </c>
      <c r="E201" s="28">
        <f>IF(195&lt;=Calculator!C9,G200*Calculator!C11,"")</f>
        <v/>
      </c>
      <c r="F201" s="28">
        <f>IF(195&lt;=Calculator!C9,D201-E201,"")</f>
        <v/>
      </c>
      <c r="G201" s="28">
        <f>IF(195&lt;=Calculator!C9,G200-F201,"")</f>
        <v/>
      </c>
    </row>
    <row r="202">
      <c r="B202" s="29">
        <f>IF(196&lt;=Calculator!C9,196,"")</f>
        <v/>
      </c>
      <c r="C202" s="30">
        <f>IF(196&lt;=Calculator!C9,EDATE(Calculator!C10,196-1),"")</f>
        <v/>
      </c>
      <c r="D202" s="31">
        <f>IF(196&lt;=Calculator!C9,Calculator!C14,"")</f>
        <v/>
      </c>
      <c r="E202" s="31">
        <f>IF(196&lt;=Calculator!C9,G201*Calculator!C11,"")</f>
        <v/>
      </c>
      <c r="F202" s="31">
        <f>IF(196&lt;=Calculator!C9,D202-E202,"")</f>
        <v/>
      </c>
      <c r="G202" s="31">
        <f>IF(196&lt;=Calculator!C9,G201-F202,"")</f>
        <v/>
      </c>
    </row>
    <row r="203">
      <c r="B203" s="26">
        <f>IF(197&lt;=Calculator!C9,197,"")</f>
        <v/>
      </c>
      <c r="C203" s="27">
        <f>IF(197&lt;=Calculator!C9,EDATE(Calculator!C10,197-1),"")</f>
        <v/>
      </c>
      <c r="D203" s="28">
        <f>IF(197&lt;=Calculator!C9,Calculator!C14,"")</f>
        <v/>
      </c>
      <c r="E203" s="28">
        <f>IF(197&lt;=Calculator!C9,G202*Calculator!C11,"")</f>
        <v/>
      </c>
      <c r="F203" s="28">
        <f>IF(197&lt;=Calculator!C9,D203-E203,"")</f>
        <v/>
      </c>
      <c r="G203" s="28">
        <f>IF(197&lt;=Calculator!C9,G202-F203,"")</f>
        <v/>
      </c>
    </row>
    <row r="204">
      <c r="B204" s="29">
        <f>IF(198&lt;=Calculator!C9,198,"")</f>
        <v/>
      </c>
      <c r="C204" s="30">
        <f>IF(198&lt;=Calculator!C9,EDATE(Calculator!C10,198-1),"")</f>
        <v/>
      </c>
      <c r="D204" s="31">
        <f>IF(198&lt;=Calculator!C9,Calculator!C14,"")</f>
        <v/>
      </c>
      <c r="E204" s="31">
        <f>IF(198&lt;=Calculator!C9,G203*Calculator!C11,"")</f>
        <v/>
      </c>
      <c r="F204" s="31">
        <f>IF(198&lt;=Calculator!C9,D204-E204,"")</f>
        <v/>
      </c>
      <c r="G204" s="31">
        <f>IF(198&lt;=Calculator!C9,G203-F204,"")</f>
        <v/>
      </c>
    </row>
    <row r="205">
      <c r="B205" s="26">
        <f>IF(199&lt;=Calculator!C9,199,"")</f>
        <v/>
      </c>
      <c r="C205" s="27">
        <f>IF(199&lt;=Calculator!C9,EDATE(Calculator!C10,199-1),"")</f>
        <v/>
      </c>
      <c r="D205" s="28">
        <f>IF(199&lt;=Calculator!C9,Calculator!C14,"")</f>
        <v/>
      </c>
      <c r="E205" s="28">
        <f>IF(199&lt;=Calculator!C9,G204*Calculator!C11,"")</f>
        <v/>
      </c>
      <c r="F205" s="28">
        <f>IF(199&lt;=Calculator!C9,D205-E205,"")</f>
        <v/>
      </c>
      <c r="G205" s="28">
        <f>IF(199&lt;=Calculator!C9,G204-F205,"")</f>
        <v/>
      </c>
    </row>
    <row r="206">
      <c r="B206" s="29">
        <f>IF(200&lt;=Calculator!C9,200,"")</f>
        <v/>
      </c>
      <c r="C206" s="30">
        <f>IF(200&lt;=Calculator!C9,EDATE(Calculator!C10,200-1),"")</f>
        <v/>
      </c>
      <c r="D206" s="31">
        <f>IF(200&lt;=Calculator!C9,Calculator!C14,"")</f>
        <v/>
      </c>
      <c r="E206" s="31">
        <f>IF(200&lt;=Calculator!C9,G205*Calculator!C11,"")</f>
        <v/>
      </c>
      <c r="F206" s="31">
        <f>IF(200&lt;=Calculator!C9,D206-E206,"")</f>
        <v/>
      </c>
      <c r="G206" s="31">
        <f>IF(200&lt;=Calculator!C9,G205-F206,"")</f>
        <v/>
      </c>
    </row>
    <row r="207">
      <c r="B207" s="26">
        <f>IF(201&lt;=Calculator!C9,201,"")</f>
        <v/>
      </c>
      <c r="C207" s="27">
        <f>IF(201&lt;=Calculator!C9,EDATE(Calculator!C10,201-1),"")</f>
        <v/>
      </c>
      <c r="D207" s="28">
        <f>IF(201&lt;=Calculator!C9,Calculator!C14,"")</f>
        <v/>
      </c>
      <c r="E207" s="28">
        <f>IF(201&lt;=Calculator!C9,G206*Calculator!C11,"")</f>
        <v/>
      </c>
      <c r="F207" s="28">
        <f>IF(201&lt;=Calculator!C9,D207-E207,"")</f>
        <v/>
      </c>
      <c r="G207" s="28">
        <f>IF(201&lt;=Calculator!C9,G206-F207,"")</f>
        <v/>
      </c>
    </row>
    <row r="208">
      <c r="B208" s="29">
        <f>IF(202&lt;=Calculator!C9,202,"")</f>
        <v/>
      </c>
      <c r="C208" s="30">
        <f>IF(202&lt;=Calculator!C9,EDATE(Calculator!C10,202-1),"")</f>
        <v/>
      </c>
      <c r="D208" s="31">
        <f>IF(202&lt;=Calculator!C9,Calculator!C14,"")</f>
        <v/>
      </c>
      <c r="E208" s="31">
        <f>IF(202&lt;=Calculator!C9,G207*Calculator!C11,"")</f>
        <v/>
      </c>
      <c r="F208" s="31">
        <f>IF(202&lt;=Calculator!C9,D208-E208,"")</f>
        <v/>
      </c>
      <c r="G208" s="31">
        <f>IF(202&lt;=Calculator!C9,G207-F208,"")</f>
        <v/>
      </c>
    </row>
    <row r="209">
      <c r="B209" s="26">
        <f>IF(203&lt;=Calculator!C9,203,"")</f>
        <v/>
      </c>
      <c r="C209" s="27">
        <f>IF(203&lt;=Calculator!C9,EDATE(Calculator!C10,203-1),"")</f>
        <v/>
      </c>
      <c r="D209" s="28">
        <f>IF(203&lt;=Calculator!C9,Calculator!C14,"")</f>
        <v/>
      </c>
      <c r="E209" s="28">
        <f>IF(203&lt;=Calculator!C9,G208*Calculator!C11,"")</f>
        <v/>
      </c>
      <c r="F209" s="28">
        <f>IF(203&lt;=Calculator!C9,D209-E209,"")</f>
        <v/>
      </c>
      <c r="G209" s="28">
        <f>IF(203&lt;=Calculator!C9,G208-F209,"")</f>
        <v/>
      </c>
    </row>
    <row r="210">
      <c r="B210" s="29">
        <f>IF(204&lt;=Calculator!C9,204,"")</f>
        <v/>
      </c>
      <c r="C210" s="30">
        <f>IF(204&lt;=Calculator!C9,EDATE(Calculator!C10,204-1),"")</f>
        <v/>
      </c>
      <c r="D210" s="31">
        <f>IF(204&lt;=Calculator!C9,Calculator!C14,"")</f>
        <v/>
      </c>
      <c r="E210" s="31">
        <f>IF(204&lt;=Calculator!C9,G209*Calculator!C11,"")</f>
        <v/>
      </c>
      <c r="F210" s="31">
        <f>IF(204&lt;=Calculator!C9,D210-E210,"")</f>
        <v/>
      </c>
      <c r="G210" s="31">
        <f>IF(204&lt;=Calculator!C9,G209-F210,"")</f>
        <v/>
      </c>
    </row>
    <row r="211">
      <c r="B211" s="26">
        <f>IF(205&lt;=Calculator!C9,205,"")</f>
        <v/>
      </c>
      <c r="C211" s="27">
        <f>IF(205&lt;=Calculator!C9,EDATE(Calculator!C10,205-1),"")</f>
        <v/>
      </c>
      <c r="D211" s="28">
        <f>IF(205&lt;=Calculator!C9,Calculator!C14,"")</f>
        <v/>
      </c>
      <c r="E211" s="28">
        <f>IF(205&lt;=Calculator!C9,G210*Calculator!C11,"")</f>
        <v/>
      </c>
      <c r="F211" s="28">
        <f>IF(205&lt;=Calculator!C9,D211-E211,"")</f>
        <v/>
      </c>
      <c r="G211" s="28">
        <f>IF(205&lt;=Calculator!C9,G210-F211,"")</f>
        <v/>
      </c>
    </row>
    <row r="212">
      <c r="B212" s="29">
        <f>IF(206&lt;=Calculator!C9,206,"")</f>
        <v/>
      </c>
      <c r="C212" s="30">
        <f>IF(206&lt;=Calculator!C9,EDATE(Calculator!C10,206-1),"")</f>
        <v/>
      </c>
      <c r="D212" s="31">
        <f>IF(206&lt;=Calculator!C9,Calculator!C14,"")</f>
        <v/>
      </c>
      <c r="E212" s="31">
        <f>IF(206&lt;=Calculator!C9,G211*Calculator!C11,"")</f>
        <v/>
      </c>
      <c r="F212" s="31">
        <f>IF(206&lt;=Calculator!C9,D212-E212,"")</f>
        <v/>
      </c>
      <c r="G212" s="31">
        <f>IF(206&lt;=Calculator!C9,G211-F212,"")</f>
        <v/>
      </c>
    </row>
    <row r="213">
      <c r="B213" s="26">
        <f>IF(207&lt;=Calculator!C9,207,"")</f>
        <v/>
      </c>
      <c r="C213" s="27">
        <f>IF(207&lt;=Calculator!C9,EDATE(Calculator!C10,207-1),"")</f>
        <v/>
      </c>
      <c r="D213" s="28">
        <f>IF(207&lt;=Calculator!C9,Calculator!C14,"")</f>
        <v/>
      </c>
      <c r="E213" s="28">
        <f>IF(207&lt;=Calculator!C9,G212*Calculator!C11,"")</f>
        <v/>
      </c>
      <c r="F213" s="28">
        <f>IF(207&lt;=Calculator!C9,D213-E213,"")</f>
        <v/>
      </c>
      <c r="G213" s="28">
        <f>IF(207&lt;=Calculator!C9,G212-F213,"")</f>
        <v/>
      </c>
    </row>
    <row r="214">
      <c r="B214" s="29">
        <f>IF(208&lt;=Calculator!C9,208,"")</f>
        <v/>
      </c>
      <c r="C214" s="30">
        <f>IF(208&lt;=Calculator!C9,EDATE(Calculator!C10,208-1),"")</f>
        <v/>
      </c>
      <c r="D214" s="31">
        <f>IF(208&lt;=Calculator!C9,Calculator!C14,"")</f>
        <v/>
      </c>
      <c r="E214" s="31">
        <f>IF(208&lt;=Calculator!C9,G213*Calculator!C11,"")</f>
        <v/>
      </c>
      <c r="F214" s="31">
        <f>IF(208&lt;=Calculator!C9,D214-E214,"")</f>
        <v/>
      </c>
      <c r="G214" s="31">
        <f>IF(208&lt;=Calculator!C9,G213-F214,"")</f>
        <v/>
      </c>
    </row>
    <row r="215">
      <c r="B215" s="26">
        <f>IF(209&lt;=Calculator!C9,209,"")</f>
        <v/>
      </c>
      <c r="C215" s="27">
        <f>IF(209&lt;=Calculator!C9,EDATE(Calculator!C10,209-1),"")</f>
        <v/>
      </c>
      <c r="D215" s="28">
        <f>IF(209&lt;=Calculator!C9,Calculator!C14,"")</f>
        <v/>
      </c>
      <c r="E215" s="28">
        <f>IF(209&lt;=Calculator!C9,G214*Calculator!C11,"")</f>
        <v/>
      </c>
      <c r="F215" s="28">
        <f>IF(209&lt;=Calculator!C9,D215-E215,"")</f>
        <v/>
      </c>
      <c r="G215" s="28">
        <f>IF(209&lt;=Calculator!C9,G214-F215,"")</f>
        <v/>
      </c>
    </row>
    <row r="216">
      <c r="B216" s="29">
        <f>IF(210&lt;=Calculator!C9,210,"")</f>
        <v/>
      </c>
      <c r="C216" s="30">
        <f>IF(210&lt;=Calculator!C9,EDATE(Calculator!C10,210-1),"")</f>
        <v/>
      </c>
      <c r="D216" s="31">
        <f>IF(210&lt;=Calculator!C9,Calculator!C14,"")</f>
        <v/>
      </c>
      <c r="E216" s="31">
        <f>IF(210&lt;=Calculator!C9,G215*Calculator!C11,"")</f>
        <v/>
      </c>
      <c r="F216" s="31">
        <f>IF(210&lt;=Calculator!C9,D216-E216,"")</f>
        <v/>
      </c>
      <c r="G216" s="31">
        <f>IF(210&lt;=Calculator!C9,G215-F216,"")</f>
        <v/>
      </c>
    </row>
    <row r="217">
      <c r="B217" s="26">
        <f>IF(211&lt;=Calculator!C9,211,"")</f>
        <v/>
      </c>
      <c r="C217" s="27">
        <f>IF(211&lt;=Calculator!C9,EDATE(Calculator!C10,211-1),"")</f>
        <v/>
      </c>
      <c r="D217" s="28">
        <f>IF(211&lt;=Calculator!C9,Calculator!C14,"")</f>
        <v/>
      </c>
      <c r="E217" s="28">
        <f>IF(211&lt;=Calculator!C9,G216*Calculator!C11,"")</f>
        <v/>
      </c>
      <c r="F217" s="28">
        <f>IF(211&lt;=Calculator!C9,D217-E217,"")</f>
        <v/>
      </c>
      <c r="G217" s="28">
        <f>IF(211&lt;=Calculator!C9,G216-F217,"")</f>
        <v/>
      </c>
    </row>
    <row r="218">
      <c r="B218" s="29">
        <f>IF(212&lt;=Calculator!C9,212,"")</f>
        <v/>
      </c>
      <c r="C218" s="30">
        <f>IF(212&lt;=Calculator!C9,EDATE(Calculator!C10,212-1),"")</f>
        <v/>
      </c>
      <c r="D218" s="31">
        <f>IF(212&lt;=Calculator!C9,Calculator!C14,"")</f>
        <v/>
      </c>
      <c r="E218" s="31">
        <f>IF(212&lt;=Calculator!C9,G217*Calculator!C11,"")</f>
        <v/>
      </c>
      <c r="F218" s="31">
        <f>IF(212&lt;=Calculator!C9,D218-E218,"")</f>
        <v/>
      </c>
      <c r="G218" s="31">
        <f>IF(212&lt;=Calculator!C9,G217-F218,"")</f>
        <v/>
      </c>
    </row>
    <row r="219">
      <c r="B219" s="26">
        <f>IF(213&lt;=Calculator!C9,213,"")</f>
        <v/>
      </c>
      <c r="C219" s="27">
        <f>IF(213&lt;=Calculator!C9,EDATE(Calculator!C10,213-1),"")</f>
        <v/>
      </c>
      <c r="D219" s="28">
        <f>IF(213&lt;=Calculator!C9,Calculator!C14,"")</f>
        <v/>
      </c>
      <c r="E219" s="28">
        <f>IF(213&lt;=Calculator!C9,G218*Calculator!C11,"")</f>
        <v/>
      </c>
      <c r="F219" s="28">
        <f>IF(213&lt;=Calculator!C9,D219-E219,"")</f>
        <v/>
      </c>
      <c r="G219" s="28">
        <f>IF(213&lt;=Calculator!C9,G218-F219,"")</f>
        <v/>
      </c>
    </row>
    <row r="220">
      <c r="B220" s="29">
        <f>IF(214&lt;=Calculator!C9,214,"")</f>
        <v/>
      </c>
      <c r="C220" s="30">
        <f>IF(214&lt;=Calculator!C9,EDATE(Calculator!C10,214-1),"")</f>
        <v/>
      </c>
      <c r="D220" s="31">
        <f>IF(214&lt;=Calculator!C9,Calculator!C14,"")</f>
        <v/>
      </c>
      <c r="E220" s="31">
        <f>IF(214&lt;=Calculator!C9,G219*Calculator!C11,"")</f>
        <v/>
      </c>
      <c r="F220" s="31">
        <f>IF(214&lt;=Calculator!C9,D220-E220,"")</f>
        <v/>
      </c>
      <c r="G220" s="31">
        <f>IF(214&lt;=Calculator!C9,G219-F220,"")</f>
        <v/>
      </c>
    </row>
    <row r="221">
      <c r="B221" s="26">
        <f>IF(215&lt;=Calculator!C9,215,"")</f>
        <v/>
      </c>
      <c r="C221" s="27">
        <f>IF(215&lt;=Calculator!C9,EDATE(Calculator!C10,215-1),"")</f>
        <v/>
      </c>
      <c r="D221" s="28">
        <f>IF(215&lt;=Calculator!C9,Calculator!C14,"")</f>
        <v/>
      </c>
      <c r="E221" s="28">
        <f>IF(215&lt;=Calculator!C9,G220*Calculator!C11,"")</f>
        <v/>
      </c>
      <c r="F221" s="28">
        <f>IF(215&lt;=Calculator!C9,D221-E221,"")</f>
        <v/>
      </c>
      <c r="G221" s="28">
        <f>IF(215&lt;=Calculator!C9,G220-F221,"")</f>
        <v/>
      </c>
    </row>
    <row r="222">
      <c r="B222" s="29">
        <f>IF(216&lt;=Calculator!C9,216,"")</f>
        <v/>
      </c>
      <c r="C222" s="30">
        <f>IF(216&lt;=Calculator!C9,EDATE(Calculator!C10,216-1),"")</f>
        <v/>
      </c>
      <c r="D222" s="31">
        <f>IF(216&lt;=Calculator!C9,Calculator!C14,"")</f>
        <v/>
      </c>
      <c r="E222" s="31">
        <f>IF(216&lt;=Calculator!C9,G221*Calculator!C11,"")</f>
        <v/>
      </c>
      <c r="F222" s="31">
        <f>IF(216&lt;=Calculator!C9,D222-E222,"")</f>
        <v/>
      </c>
      <c r="G222" s="31">
        <f>IF(216&lt;=Calculator!C9,G221-F222,"")</f>
        <v/>
      </c>
    </row>
    <row r="223">
      <c r="B223" s="26">
        <f>IF(217&lt;=Calculator!C9,217,"")</f>
        <v/>
      </c>
      <c r="C223" s="27">
        <f>IF(217&lt;=Calculator!C9,EDATE(Calculator!C10,217-1),"")</f>
        <v/>
      </c>
      <c r="D223" s="28">
        <f>IF(217&lt;=Calculator!C9,Calculator!C14,"")</f>
        <v/>
      </c>
      <c r="E223" s="28">
        <f>IF(217&lt;=Calculator!C9,G222*Calculator!C11,"")</f>
        <v/>
      </c>
      <c r="F223" s="28">
        <f>IF(217&lt;=Calculator!C9,D223-E223,"")</f>
        <v/>
      </c>
      <c r="G223" s="28">
        <f>IF(217&lt;=Calculator!C9,G222-F223,"")</f>
        <v/>
      </c>
    </row>
    <row r="224">
      <c r="B224" s="29">
        <f>IF(218&lt;=Calculator!C9,218,"")</f>
        <v/>
      </c>
      <c r="C224" s="30">
        <f>IF(218&lt;=Calculator!C9,EDATE(Calculator!C10,218-1),"")</f>
        <v/>
      </c>
      <c r="D224" s="31">
        <f>IF(218&lt;=Calculator!C9,Calculator!C14,"")</f>
        <v/>
      </c>
      <c r="E224" s="31">
        <f>IF(218&lt;=Calculator!C9,G223*Calculator!C11,"")</f>
        <v/>
      </c>
      <c r="F224" s="31">
        <f>IF(218&lt;=Calculator!C9,D224-E224,"")</f>
        <v/>
      </c>
      <c r="G224" s="31">
        <f>IF(218&lt;=Calculator!C9,G223-F224,"")</f>
        <v/>
      </c>
    </row>
    <row r="225">
      <c r="B225" s="26">
        <f>IF(219&lt;=Calculator!C9,219,"")</f>
        <v/>
      </c>
      <c r="C225" s="27">
        <f>IF(219&lt;=Calculator!C9,EDATE(Calculator!C10,219-1),"")</f>
        <v/>
      </c>
      <c r="D225" s="28">
        <f>IF(219&lt;=Calculator!C9,Calculator!C14,"")</f>
        <v/>
      </c>
      <c r="E225" s="28">
        <f>IF(219&lt;=Calculator!C9,G224*Calculator!C11,"")</f>
        <v/>
      </c>
      <c r="F225" s="28">
        <f>IF(219&lt;=Calculator!C9,D225-E225,"")</f>
        <v/>
      </c>
      <c r="G225" s="28">
        <f>IF(219&lt;=Calculator!C9,G224-F225,"")</f>
        <v/>
      </c>
    </row>
    <row r="226">
      <c r="B226" s="29">
        <f>IF(220&lt;=Calculator!C9,220,"")</f>
        <v/>
      </c>
      <c r="C226" s="30">
        <f>IF(220&lt;=Calculator!C9,EDATE(Calculator!C10,220-1),"")</f>
        <v/>
      </c>
      <c r="D226" s="31">
        <f>IF(220&lt;=Calculator!C9,Calculator!C14,"")</f>
        <v/>
      </c>
      <c r="E226" s="31">
        <f>IF(220&lt;=Calculator!C9,G225*Calculator!C11,"")</f>
        <v/>
      </c>
      <c r="F226" s="31">
        <f>IF(220&lt;=Calculator!C9,D226-E226,"")</f>
        <v/>
      </c>
      <c r="G226" s="31">
        <f>IF(220&lt;=Calculator!C9,G225-F226,"")</f>
        <v/>
      </c>
    </row>
    <row r="227">
      <c r="B227" s="26">
        <f>IF(221&lt;=Calculator!C9,221,"")</f>
        <v/>
      </c>
      <c r="C227" s="27">
        <f>IF(221&lt;=Calculator!C9,EDATE(Calculator!C10,221-1),"")</f>
        <v/>
      </c>
      <c r="D227" s="28">
        <f>IF(221&lt;=Calculator!C9,Calculator!C14,"")</f>
        <v/>
      </c>
      <c r="E227" s="28">
        <f>IF(221&lt;=Calculator!C9,G226*Calculator!C11,"")</f>
        <v/>
      </c>
      <c r="F227" s="28">
        <f>IF(221&lt;=Calculator!C9,D227-E227,"")</f>
        <v/>
      </c>
      <c r="G227" s="28">
        <f>IF(221&lt;=Calculator!C9,G226-F227,"")</f>
        <v/>
      </c>
    </row>
    <row r="228">
      <c r="B228" s="29">
        <f>IF(222&lt;=Calculator!C9,222,"")</f>
        <v/>
      </c>
      <c r="C228" s="30">
        <f>IF(222&lt;=Calculator!C9,EDATE(Calculator!C10,222-1),"")</f>
        <v/>
      </c>
      <c r="D228" s="31">
        <f>IF(222&lt;=Calculator!C9,Calculator!C14,"")</f>
        <v/>
      </c>
      <c r="E228" s="31">
        <f>IF(222&lt;=Calculator!C9,G227*Calculator!C11,"")</f>
        <v/>
      </c>
      <c r="F228" s="31">
        <f>IF(222&lt;=Calculator!C9,D228-E228,"")</f>
        <v/>
      </c>
      <c r="G228" s="31">
        <f>IF(222&lt;=Calculator!C9,G227-F228,"")</f>
        <v/>
      </c>
    </row>
    <row r="229">
      <c r="B229" s="26">
        <f>IF(223&lt;=Calculator!C9,223,"")</f>
        <v/>
      </c>
      <c r="C229" s="27">
        <f>IF(223&lt;=Calculator!C9,EDATE(Calculator!C10,223-1),"")</f>
        <v/>
      </c>
      <c r="D229" s="28">
        <f>IF(223&lt;=Calculator!C9,Calculator!C14,"")</f>
        <v/>
      </c>
      <c r="E229" s="28">
        <f>IF(223&lt;=Calculator!C9,G228*Calculator!C11,"")</f>
        <v/>
      </c>
      <c r="F229" s="28">
        <f>IF(223&lt;=Calculator!C9,D229-E229,"")</f>
        <v/>
      </c>
      <c r="G229" s="28">
        <f>IF(223&lt;=Calculator!C9,G228-F229,"")</f>
        <v/>
      </c>
    </row>
    <row r="230">
      <c r="B230" s="29">
        <f>IF(224&lt;=Calculator!C9,224,"")</f>
        <v/>
      </c>
      <c r="C230" s="30">
        <f>IF(224&lt;=Calculator!C9,EDATE(Calculator!C10,224-1),"")</f>
        <v/>
      </c>
      <c r="D230" s="31">
        <f>IF(224&lt;=Calculator!C9,Calculator!C14,"")</f>
        <v/>
      </c>
      <c r="E230" s="31">
        <f>IF(224&lt;=Calculator!C9,G229*Calculator!C11,"")</f>
        <v/>
      </c>
      <c r="F230" s="31">
        <f>IF(224&lt;=Calculator!C9,D230-E230,"")</f>
        <v/>
      </c>
      <c r="G230" s="31">
        <f>IF(224&lt;=Calculator!C9,G229-F230,"")</f>
        <v/>
      </c>
    </row>
    <row r="231">
      <c r="B231" s="26">
        <f>IF(225&lt;=Calculator!C9,225,"")</f>
        <v/>
      </c>
      <c r="C231" s="27">
        <f>IF(225&lt;=Calculator!C9,EDATE(Calculator!C10,225-1),"")</f>
        <v/>
      </c>
      <c r="D231" s="28">
        <f>IF(225&lt;=Calculator!C9,Calculator!C14,"")</f>
        <v/>
      </c>
      <c r="E231" s="28">
        <f>IF(225&lt;=Calculator!C9,G230*Calculator!C11,"")</f>
        <v/>
      </c>
      <c r="F231" s="28">
        <f>IF(225&lt;=Calculator!C9,D231-E231,"")</f>
        <v/>
      </c>
      <c r="G231" s="28">
        <f>IF(225&lt;=Calculator!C9,G230-F231,"")</f>
        <v/>
      </c>
    </row>
    <row r="232">
      <c r="B232" s="29">
        <f>IF(226&lt;=Calculator!C9,226,"")</f>
        <v/>
      </c>
      <c r="C232" s="30">
        <f>IF(226&lt;=Calculator!C9,EDATE(Calculator!C10,226-1),"")</f>
        <v/>
      </c>
      <c r="D232" s="31">
        <f>IF(226&lt;=Calculator!C9,Calculator!C14,"")</f>
        <v/>
      </c>
      <c r="E232" s="31">
        <f>IF(226&lt;=Calculator!C9,G231*Calculator!C11,"")</f>
        <v/>
      </c>
      <c r="F232" s="31">
        <f>IF(226&lt;=Calculator!C9,D232-E232,"")</f>
        <v/>
      </c>
      <c r="G232" s="31">
        <f>IF(226&lt;=Calculator!C9,G231-F232,"")</f>
        <v/>
      </c>
    </row>
    <row r="233">
      <c r="B233" s="26">
        <f>IF(227&lt;=Calculator!C9,227,"")</f>
        <v/>
      </c>
      <c r="C233" s="27">
        <f>IF(227&lt;=Calculator!C9,EDATE(Calculator!C10,227-1),"")</f>
        <v/>
      </c>
      <c r="D233" s="28">
        <f>IF(227&lt;=Calculator!C9,Calculator!C14,"")</f>
        <v/>
      </c>
      <c r="E233" s="28">
        <f>IF(227&lt;=Calculator!C9,G232*Calculator!C11,"")</f>
        <v/>
      </c>
      <c r="F233" s="28">
        <f>IF(227&lt;=Calculator!C9,D233-E233,"")</f>
        <v/>
      </c>
      <c r="G233" s="28">
        <f>IF(227&lt;=Calculator!C9,G232-F233,"")</f>
        <v/>
      </c>
    </row>
    <row r="234">
      <c r="B234" s="29">
        <f>IF(228&lt;=Calculator!C9,228,"")</f>
        <v/>
      </c>
      <c r="C234" s="30">
        <f>IF(228&lt;=Calculator!C9,EDATE(Calculator!C10,228-1),"")</f>
        <v/>
      </c>
      <c r="D234" s="31">
        <f>IF(228&lt;=Calculator!C9,Calculator!C14,"")</f>
        <v/>
      </c>
      <c r="E234" s="31">
        <f>IF(228&lt;=Calculator!C9,G233*Calculator!C11,"")</f>
        <v/>
      </c>
      <c r="F234" s="31">
        <f>IF(228&lt;=Calculator!C9,D234-E234,"")</f>
        <v/>
      </c>
      <c r="G234" s="31">
        <f>IF(228&lt;=Calculator!C9,G233-F234,"")</f>
        <v/>
      </c>
    </row>
    <row r="235">
      <c r="B235" s="26">
        <f>IF(229&lt;=Calculator!C9,229,"")</f>
        <v/>
      </c>
      <c r="C235" s="27">
        <f>IF(229&lt;=Calculator!C9,EDATE(Calculator!C10,229-1),"")</f>
        <v/>
      </c>
      <c r="D235" s="28">
        <f>IF(229&lt;=Calculator!C9,Calculator!C14,"")</f>
        <v/>
      </c>
      <c r="E235" s="28">
        <f>IF(229&lt;=Calculator!C9,G234*Calculator!C11,"")</f>
        <v/>
      </c>
      <c r="F235" s="28">
        <f>IF(229&lt;=Calculator!C9,D235-E235,"")</f>
        <v/>
      </c>
      <c r="G235" s="28">
        <f>IF(229&lt;=Calculator!C9,G234-F235,"")</f>
        <v/>
      </c>
    </row>
    <row r="236">
      <c r="B236" s="29">
        <f>IF(230&lt;=Calculator!C9,230,"")</f>
        <v/>
      </c>
      <c r="C236" s="30">
        <f>IF(230&lt;=Calculator!C9,EDATE(Calculator!C10,230-1),"")</f>
        <v/>
      </c>
      <c r="D236" s="31">
        <f>IF(230&lt;=Calculator!C9,Calculator!C14,"")</f>
        <v/>
      </c>
      <c r="E236" s="31">
        <f>IF(230&lt;=Calculator!C9,G235*Calculator!C11,"")</f>
        <v/>
      </c>
      <c r="F236" s="31">
        <f>IF(230&lt;=Calculator!C9,D236-E236,"")</f>
        <v/>
      </c>
      <c r="G236" s="31">
        <f>IF(230&lt;=Calculator!C9,G235-F236,"")</f>
        <v/>
      </c>
    </row>
    <row r="237">
      <c r="B237" s="26">
        <f>IF(231&lt;=Calculator!C9,231,"")</f>
        <v/>
      </c>
      <c r="C237" s="27">
        <f>IF(231&lt;=Calculator!C9,EDATE(Calculator!C10,231-1),"")</f>
        <v/>
      </c>
      <c r="D237" s="28">
        <f>IF(231&lt;=Calculator!C9,Calculator!C14,"")</f>
        <v/>
      </c>
      <c r="E237" s="28">
        <f>IF(231&lt;=Calculator!C9,G236*Calculator!C11,"")</f>
        <v/>
      </c>
      <c r="F237" s="28">
        <f>IF(231&lt;=Calculator!C9,D237-E237,"")</f>
        <v/>
      </c>
      <c r="G237" s="28">
        <f>IF(231&lt;=Calculator!C9,G236-F237,"")</f>
        <v/>
      </c>
    </row>
    <row r="238">
      <c r="B238" s="29">
        <f>IF(232&lt;=Calculator!C9,232,"")</f>
        <v/>
      </c>
      <c r="C238" s="30">
        <f>IF(232&lt;=Calculator!C9,EDATE(Calculator!C10,232-1),"")</f>
        <v/>
      </c>
      <c r="D238" s="31">
        <f>IF(232&lt;=Calculator!C9,Calculator!C14,"")</f>
        <v/>
      </c>
      <c r="E238" s="31">
        <f>IF(232&lt;=Calculator!C9,G237*Calculator!C11,"")</f>
        <v/>
      </c>
      <c r="F238" s="31">
        <f>IF(232&lt;=Calculator!C9,D238-E238,"")</f>
        <v/>
      </c>
      <c r="G238" s="31">
        <f>IF(232&lt;=Calculator!C9,G237-F238,"")</f>
        <v/>
      </c>
    </row>
    <row r="239">
      <c r="B239" s="26">
        <f>IF(233&lt;=Calculator!C9,233,"")</f>
        <v/>
      </c>
      <c r="C239" s="27">
        <f>IF(233&lt;=Calculator!C9,EDATE(Calculator!C10,233-1),"")</f>
        <v/>
      </c>
      <c r="D239" s="28">
        <f>IF(233&lt;=Calculator!C9,Calculator!C14,"")</f>
        <v/>
      </c>
      <c r="E239" s="28">
        <f>IF(233&lt;=Calculator!C9,G238*Calculator!C11,"")</f>
        <v/>
      </c>
      <c r="F239" s="28">
        <f>IF(233&lt;=Calculator!C9,D239-E239,"")</f>
        <v/>
      </c>
      <c r="G239" s="28">
        <f>IF(233&lt;=Calculator!C9,G238-F239,"")</f>
        <v/>
      </c>
    </row>
    <row r="240">
      <c r="B240" s="29">
        <f>IF(234&lt;=Calculator!C9,234,"")</f>
        <v/>
      </c>
      <c r="C240" s="30">
        <f>IF(234&lt;=Calculator!C9,EDATE(Calculator!C10,234-1),"")</f>
        <v/>
      </c>
      <c r="D240" s="31">
        <f>IF(234&lt;=Calculator!C9,Calculator!C14,"")</f>
        <v/>
      </c>
      <c r="E240" s="31">
        <f>IF(234&lt;=Calculator!C9,G239*Calculator!C11,"")</f>
        <v/>
      </c>
      <c r="F240" s="31">
        <f>IF(234&lt;=Calculator!C9,D240-E240,"")</f>
        <v/>
      </c>
      <c r="G240" s="31">
        <f>IF(234&lt;=Calculator!C9,G239-F240,"")</f>
        <v/>
      </c>
    </row>
    <row r="241">
      <c r="B241" s="26">
        <f>IF(235&lt;=Calculator!C9,235,"")</f>
        <v/>
      </c>
      <c r="C241" s="27">
        <f>IF(235&lt;=Calculator!C9,EDATE(Calculator!C10,235-1),"")</f>
        <v/>
      </c>
      <c r="D241" s="28">
        <f>IF(235&lt;=Calculator!C9,Calculator!C14,"")</f>
        <v/>
      </c>
      <c r="E241" s="28">
        <f>IF(235&lt;=Calculator!C9,G240*Calculator!C11,"")</f>
        <v/>
      </c>
      <c r="F241" s="28">
        <f>IF(235&lt;=Calculator!C9,D241-E241,"")</f>
        <v/>
      </c>
      <c r="G241" s="28">
        <f>IF(235&lt;=Calculator!C9,G240-F241,"")</f>
        <v/>
      </c>
    </row>
    <row r="242">
      <c r="B242" s="29">
        <f>IF(236&lt;=Calculator!C9,236,"")</f>
        <v/>
      </c>
      <c r="C242" s="30">
        <f>IF(236&lt;=Calculator!C9,EDATE(Calculator!C10,236-1),"")</f>
        <v/>
      </c>
      <c r="D242" s="31">
        <f>IF(236&lt;=Calculator!C9,Calculator!C14,"")</f>
        <v/>
      </c>
      <c r="E242" s="31">
        <f>IF(236&lt;=Calculator!C9,G241*Calculator!C11,"")</f>
        <v/>
      </c>
      <c r="F242" s="31">
        <f>IF(236&lt;=Calculator!C9,D242-E242,"")</f>
        <v/>
      </c>
      <c r="G242" s="31">
        <f>IF(236&lt;=Calculator!C9,G241-F242,"")</f>
        <v/>
      </c>
    </row>
    <row r="243">
      <c r="B243" s="26">
        <f>IF(237&lt;=Calculator!C9,237,"")</f>
        <v/>
      </c>
      <c r="C243" s="27">
        <f>IF(237&lt;=Calculator!C9,EDATE(Calculator!C10,237-1),"")</f>
        <v/>
      </c>
      <c r="D243" s="28">
        <f>IF(237&lt;=Calculator!C9,Calculator!C14,"")</f>
        <v/>
      </c>
      <c r="E243" s="28">
        <f>IF(237&lt;=Calculator!C9,G242*Calculator!C11,"")</f>
        <v/>
      </c>
      <c r="F243" s="28">
        <f>IF(237&lt;=Calculator!C9,D243-E243,"")</f>
        <v/>
      </c>
      <c r="G243" s="28">
        <f>IF(237&lt;=Calculator!C9,G242-F243,"")</f>
        <v/>
      </c>
    </row>
    <row r="244">
      <c r="B244" s="29">
        <f>IF(238&lt;=Calculator!C9,238,"")</f>
        <v/>
      </c>
      <c r="C244" s="30">
        <f>IF(238&lt;=Calculator!C9,EDATE(Calculator!C10,238-1),"")</f>
        <v/>
      </c>
      <c r="D244" s="31">
        <f>IF(238&lt;=Calculator!C9,Calculator!C14,"")</f>
        <v/>
      </c>
      <c r="E244" s="31">
        <f>IF(238&lt;=Calculator!C9,G243*Calculator!C11,"")</f>
        <v/>
      </c>
      <c r="F244" s="31">
        <f>IF(238&lt;=Calculator!C9,D244-E244,"")</f>
        <v/>
      </c>
      <c r="G244" s="31">
        <f>IF(238&lt;=Calculator!C9,G243-F244,"")</f>
        <v/>
      </c>
    </row>
    <row r="245">
      <c r="B245" s="26">
        <f>IF(239&lt;=Calculator!C9,239,"")</f>
        <v/>
      </c>
      <c r="C245" s="27">
        <f>IF(239&lt;=Calculator!C9,EDATE(Calculator!C10,239-1),"")</f>
        <v/>
      </c>
      <c r="D245" s="28">
        <f>IF(239&lt;=Calculator!C9,Calculator!C14,"")</f>
        <v/>
      </c>
      <c r="E245" s="28">
        <f>IF(239&lt;=Calculator!C9,G244*Calculator!C11,"")</f>
        <v/>
      </c>
      <c r="F245" s="28">
        <f>IF(239&lt;=Calculator!C9,D245-E245,"")</f>
        <v/>
      </c>
      <c r="G245" s="28">
        <f>IF(239&lt;=Calculator!C9,G244-F245,"")</f>
        <v/>
      </c>
    </row>
    <row r="246">
      <c r="B246" s="29">
        <f>IF(240&lt;=Calculator!C9,240,"")</f>
        <v/>
      </c>
      <c r="C246" s="30">
        <f>IF(240&lt;=Calculator!C9,EDATE(Calculator!C10,240-1),"")</f>
        <v/>
      </c>
      <c r="D246" s="31">
        <f>IF(240&lt;=Calculator!C9,Calculator!C14,"")</f>
        <v/>
      </c>
      <c r="E246" s="31">
        <f>IF(240&lt;=Calculator!C9,G245*Calculator!C11,"")</f>
        <v/>
      </c>
      <c r="F246" s="31">
        <f>IF(240&lt;=Calculator!C9,D246-E246,"")</f>
        <v/>
      </c>
      <c r="G246" s="31">
        <f>IF(240&lt;=Calculator!C9,G245-F246,"")</f>
        <v/>
      </c>
    </row>
    <row r="247">
      <c r="B247" s="26">
        <f>IF(241&lt;=Calculator!C9,241,"")</f>
        <v/>
      </c>
      <c r="C247" s="27">
        <f>IF(241&lt;=Calculator!C9,EDATE(Calculator!C10,241-1),"")</f>
        <v/>
      </c>
      <c r="D247" s="28">
        <f>IF(241&lt;=Calculator!C9,Calculator!C14,"")</f>
        <v/>
      </c>
      <c r="E247" s="28">
        <f>IF(241&lt;=Calculator!C9,G246*Calculator!C11,"")</f>
        <v/>
      </c>
      <c r="F247" s="28">
        <f>IF(241&lt;=Calculator!C9,D247-E247,"")</f>
        <v/>
      </c>
      <c r="G247" s="28">
        <f>IF(241&lt;=Calculator!C9,G246-F247,"")</f>
        <v/>
      </c>
    </row>
    <row r="248">
      <c r="B248" s="29">
        <f>IF(242&lt;=Calculator!C9,242,"")</f>
        <v/>
      </c>
      <c r="C248" s="30">
        <f>IF(242&lt;=Calculator!C9,EDATE(Calculator!C10,242-1),"")</f>
        <v/>
      </c>
      <c r="D248" s="31">
        <f>IF(242&lt;=Calculator!C9,Calculator!C14,"")</f>
        <v/>
      </c>
      <c r="E248" s="31">
        <f>IF(242&lt;=Calculator!C9,G247*Calculator!C11,"")</f>
        <v/>
      </c>
      <c r="F248" s="31">
        <f>IF(242&lt;=Calculator!C9,D248-E248,"")</f>
        <v/>
      </c>
      <c r="G248" s="31">
        <f>IF(242&lt;=Calculator!C9,G247-F248,"")</f>
        <v/>
      </c>
    </row>
    <row r="249">
      <c r="B249" s="26">
        <f>IF(243&lt;=Calculator!C9,243,"")</f>
        <v/>
      </c>
      <c r="C249" s="27">
        <f>IF(243&lt;=Calculator!C9,EDATE(Calculator!C10,243-1),"")</f>
        <v/>
      </c>
      <c r="D249" s="28">
        <f>IF(243&lt;=Calculator!C9,Calculator!C14,"")</f>
        <v/>
      </c>
      <c r="E249" s="28">
        <f>IF(243&lt;=Calculator!C9,G248*Calculator!C11,"")</f>
        <v/>
      </c>
      <c r="F249" s="28">
        <f>IF(243&lt;=Calculator!C9,D249-E249,"")</f>
        <v/>
      </c>
      <c r="G249" s="28">
        <f>IF(243&lt;=Calculator!C9,G248-F249,"")</f>
        <v/>
      </c>
    </row>
    <row r="250">
      <c r="B250" s="29">
        <f>IF(244&lt;=Calculator!C9,244,"")</f>
        <v/>
      </c>
      <c r="C250" s="30">
        <f>IF(244&lt;=Calculator!C9,EDATE(Calculator!C10,244-1),"")</f>
        <v/>
      </c>
      <c r="D250" s="31">
        <f>IF(244&lt;=Calculator!C9,Calculator!C14,"")</f>
        <v/>
      </c>
      <c r="E250" s="31">
        <f>IF(244&lt;=Calculator!C9,G249*Calculator!C11,"")</f>
        <v/>
      </c>
      <c r="F250" s="31">
        <f>IF(244&lt;=Calculator!C9,D250-E250,"")</f>
        <v/>
      </c>
      <c r="G250" s="31">
        <f>IF(244&lt;=Calculator!C9,G249-F250,"")</f>
        <v/>
      </c>
    </row>
    <row r="251">
      <c r="B251" s="26">
        <f>IF(245&lt;=Calculator!C9,245,"")</f>
        <v/>
      </c>
      <c r="C251" s="27">
        <f>IF(245&lt;=Calculator!C9,EDATE(Calculator!C10,245-1),"")</f>
        <v/>
      </c>
      <c r="D251" s="28">
        <f>IF(245&lt;=Calculator!C9,Calculator!C14,"")</f>
        <v/>
      </c>
      <c r="E251" s="28">
        <f>IF(245&lt;=Calculator!C9,G250*Calculator!C11,"")</f>
        <v/>
      </c>
      <c r="F251" s="28">
        <f>IF(245&lt;=Calculator!C9,D251-E251,"")</f>
        <v/>
      </c>
      <c r="G251" s="28">
        <f>IF(245&lt;=Calculator!C9,G250-F251,"")</f>
        <v/>
      </c>
    </row>
    <row r="252">
      <c r="B252" s="29">
        <f>IF(246&lt;=Calculator!C9,246,"")</f>
        <v/>
      </c>
      <c r="C252" s="30">
        <f>IF(246&lt;=Calculator!C9,EDATE(Calculator!C10,246-1),"")</f>
        <v/>
      </c>
      <c r="D252" s="31">
        <f>IF(246&lt;=Calculator!C9,Calculator!C14,"")</f>
        <v/>
      </c>
      <c r="E252" s="31">
        <f>IF(246&lt;=Calculator!C9,G251*Calculator!C11,"")</f>
        <v/>
      </c>
      <c r="F252" s="31">
        <f>IF(246&lt;=Calculator!C9,D252-E252,"")</f>
        <v/>
      </c>
      <c r="G252" s="31">
        <f>IF(246&lt;=Calculator!C9,G251-F252,"")</f>
        <v/>
      </c>
    </row>
    <row r="253">
      <c r="B253" s="26">
        <f>IF(247&lt;=Calculator!C9,247,"")</f>
        <v/>
      </c>
      <c r="C253" s="27">
        <f>IF(247&lt;=Calculator!C9,EDATE(Calculator!C10,247-1),"")</f>
        <v/>
      </c>
      <c r="D253" s="28">
        <f>IF(247&lt;=Calculator!C9,Calculator!C14,"")</f>
        <v/>
      </c>
      <c r="E253" s="28">
        <f>IF(247&lt;=Calculator!C9,G252*Calculator!C11,"")</f>
        <v/>
      </c>
      <c r="F253" s="28">
        <f>IF(247&lt;=Calculator!C9,D253-E253,"")</f>
        <v/>
      </c>
      <c r="G253" s="28">
        <f>IF(247&lt;=Calculator!C9,G252-F253,"")</f>
        <v/>
      </c>
    </row>
    <row r="254">
      <c r="B254" s="29">
        <f>IF(248&lt;=Calculator!C9,248,"")</f>
        <v/>
      </c>
      <c r="C254" s="30">
        <f>IF(248&lt;=Calculator!C9,EDATE(Calculator!C10,248-1),"")</f>
        <v/>
      </c>
      <c r="D254" s="31">
        <f>IF(248&lt;=Calculator!C9,Calculator!C14,"")</f>
        <v/>
      </c>
      <c r="E254" s="31">
        <f>IF(248&lt;=Calculator!C9,G253*Calculator!C11,"")</f>
        <v/>
      </c>
      <c r="F254" s="31">
        <f>IF(248&lt;=Calculator!C9,D254-E254,"")</f>
        <v/>
      </c>
      <c r="G254" s="31">
        <f>IF(248&lt;=Calculator!C9,G253-F254,"")</f>
        <v/>
      </c>
    </row>
    <row r="255">
      <c r="B255" s="26">
        <f>IF(249&lt;=Calculator!C9,249,"")</f>
        <v/>
      </c>
      <c r="C255" s="27">
        <f>IF(249&lt;=Calculator!C9,EDATE(Calculator!C10,249-1),"")</f>
        <v/>
      </c>
      <c r="D255" s="28">
        <f>IF(249&lt;=Calculator!C9,Calculator!C14,"")</f>
        <v/>
      </c>
      <c r="E255" s="28">
        <f>IF(249&lt;=Calculator!C9,G254*Calculator!C11,"")</f>
        <v/>
      </c>
      <c r="F255" s="28">
        <f>IF(249&lt;=Calculator!C9,D255-E255,"")</f>
        <v/>
      </c>
      <c r="G255" s="28">
        <f>IF(249&lt;=Calculator!C9,G254-F255,"")</f>
        <v/>
      </c>
    </row>
    <row r="256">
      <c r="B256" s="29">
        <f>IF(250&lt;=Calculator!C9,250,"")</f>
        <v/>
      </c>
      <c r="C256" s="30">
        <f>IF(250&lt;=Calculator!C9,EDATE(Calculator!C10,250-1),"")</f>
        <v/>
      </c>
      <c r="D256" s="31">
        <f>IF(250&lt;=Calculator!C9,Calculator!C14,"")</f>
        <v/>
      </c>
      <c r="E256" s="31">
        <f>IF(250&lt;=Calculator!C9,G255*Calculator!C11,"")</f>
        <v/>
      </c>
      <c r="F256" s="31">
        <f>IF(250&lt;=Calculator!C9,D256-E256,"")</f>
        <v/>
      </c>
      <c r="G256" s="31">
        <f>IF(250&lt;=Calculator!C9,G255-F256,"")</f>
        <v/>
      </c>
    </row>
    <row r="257">
      <c r="B257" s="26">
        <f>IF(251&lt;=Calculator!C9,251,"")</f>
        <v/>
      </c>
      <c r="C257" s="27">
        <f>IF(251&lt;=Calculator!C9,EDATE(Calculator!C10,251-1),"")</f>
        <v/>
      </c>
      <c r="D257" s="28">
        <f>IF(251&lt;=Calculator!C9,Calculator!C14,"")</f>
        <v/>
      </c>
      <c r="E257" s="28">
        <f>IF(251&lt;=Calculator!C9,G256*Calculator!C11,"")</f>
        <v/>
      </c>
      <c r="F257" s="28">
        <f>IF(251&lt;=Calculator!C9,D257-E257,"")</f>
        <v/>
      </c>
      <c r="G257" s="28">
        <f>IF(251&lt;=Calculator!C9,G256-F257,"")</f>
        <v/>
      </c>
    </row>
    <row r="258">
      <c r="B258" s="29">
        <f>IF(252&lt;=Calculator!C9,252,"")</f>
        <v/>
      </c>
      <c r="C258" s="30">
        <f>IF(252&lt;=Calculator!C9,EDATE(Calculator!C10,252-1),"")</f>
        <v/>
      </c>
      <c r="D258" s="31">
        <f>IF(252&lt;=Calculator!C9,Calculator!C14,"")</f>
        <v/>
      </c>
      <c r="E258" s="31">
        <f>IF(252&lt;=Calculator!C9,G257*Calculator!C11,"")</f>
        <v/>
      </c>
      <c r="F258" s="31">
        <f>IF(252&lt;=Calculator!C9,D258-E258,"")</f>
        <v/>
      </c>
      <c r="G258" s="31">
        <f>IF(252&lt;=Calculator!C9,G257-F258,"")</f>
        <v/>
      </c>
    </row>
    <row r="259">
      <c r="B259" s="26">
        <f>IF(253&lt;=Calculator!C9,253,"")</f>
        <v/>
      </c>
      <c r="C259" s="27">
        <f>IF(253&lt;=Calculator!C9,EDATE(Calculator!C10,253-1),"")</f>
        <v/>
      </c>
      <c r="D259" s="28">
        <f>IF(253&lt;=Calculator!C9,Calculator!C14,"")</f>
        <v/>
      </c>
      <c r="E259" s="28">
        <f>IF(253&lt;=Calculator!C9,G258*Calculator!C11,"")</f>
        <v/>
      </c>
      <c r="F259" s="28">
        <f>IF(253&lt;=Calculator!C9,D259-E259,"")</f>
        <v/>
      </c>
      <c r="G259" s="28">
        <f>IF(253&lt;=Calculator!C9,G258-F259,"")</f>
        <v/>
      </c>
    </row>
    <row r="260">
      <c r="B260" s="29">
        <f>IF(254&lt;=Calculator!C9,254,"")</f>
        <v/>
      </c>
      <c r="C260" s="30">
        <f>IF(254&lt;=Calculator!C9,EDATE(Calculator!C10,254-1),"")</f>
        <v/>
      </c>
      <c r="D260" s="31">
        <f>IF(254&lt;=Calculator!C9,Calculator!C14,"")</f>
        <v/>
      </c>
      <c r="E260" s="31">
        <f>IF(254&lt;=Calculator!C9,G259*Calculator!C11,"")</f>
        <v/>
      </c>
      <c r="F260" s="31">
        <f>IF(254&lt;=Calculator!C9,D260-E260,"")</f>
        <v/>
      </c>
      <c r="G260" s="31">
        <f>IF(254&lt;=Calculator!C9,G259-F260,"")</f>
        <v/>
      </c>
    </row>
    <row r="261">
      <c r="B261" s="26">
        <f>IF(255&lt;=Calculator!C9,255,"")</f>
        <v/>
      </c>
      <c r="C261" s="27">
        <f>IF(255&lt;=Calculator!C9,EDATE(Calculator!C10,255-1),"")</f>
        <v/>
      </c>
      <c r="D261" s="28">
        <f>IF(255&lt;=Calculator!C9,Calculator!C14,"")</f>
        <v/>
      </c>
      <c r="E261" s="28">
        <f>IF(255&lt;=Calculator!C9,G260*Calculator!C11,"")</f>
        <v/>
      </c>
      <c r="F261" s="28">
        <f>IF(255&lt;=Calculator!C9,D261-E261,"")</f>
        <v/>
      </c>
      <c r="G261" s="28">
        <f>IF(255&lt;=Calculator!C9,G260-F261,"")</f>
        <v/>
      </c>
    </row>
    <row r="262">
      <c r="B262" s="29">
        <f>IF(256&lt;=Calculator!C9,256,"")</f>
        <v/>
      </c>
      <c r="C262" s="30">
        <f>IF(256&lt;=Calculator!C9,EDATE(Calculator!C10,256-1),"")</f>
        <v/>
      </c>
      <c r="D262" s="31">
        <f>IF(256&lt;=Calculator!C9,Calculator!C14,"")</f>
        <v/>
      </c>
      <c r="E262" s="31">
        <f>IF(256&lt;=Calculator!C9,G261*Calculator!C11,"")</f>
        <v/>
      </c>
      <c r="F262" s="31">
        <f>IF(256&lt;=Calculator!C9,D262-E262,"")</f>
        <v/>
      </c>
      <c r="G262" s="31">
        <f>IF(256&lt;=Calculator!C9,G261-F262,"")</f>
        <v/>
      </c>
    </row>
    <row r="263">
      <c r="B263" s="26">
        <f>IF(257&lt;=Calculator!C9,257,"")</f>
        <v/>
      </c>
      <c r="C263" s="27">
        <f>IF(257&lt;=Calculator!C9,EDATE(Calculator!C10,257-1),"")</f>
        <v/>
      </c>
      <c r="D263" s="28">
        <f>IF(257&lt;=Calculator!C9,Calculator!C14,"")</f>
        <v/>
      </c>
      <c r="E263" s="28">
        <f>IF(257&lt;=Calculator!C9,G262*Calculator!C11,"")</f>
        <v/>
      </c>
      <c r="F263" s="28">
        <f>IF(257&lt;=Calculator!C9,D263-E263,"")</f>
        <v/>
      </c>
      <c r="G263" s="28">
        <f>IF(257&lt;=Calculator!C9,G262-F263,"")</f>
        <v/>
      </c>
    </row>
    <row r="264">
      <c r="B264" s="29">
        <f>IF(258&lt;=Calculator!C9,258,"")</f>
        <v/>
      </c>
      <c r="C264" s="30">
        <f>IF(258&lt;=Calculator!C9,EDATE(Calculator!C10,258-1),"")</f>
        <v/>
      </c>
      <c r="D264" s="31">
        <f>IF(258&lt;=Calculator!C9,Calculator!C14,"")</f>
        <v/>
      </c>
      <c r="E264" s="31">
        <f>IF(258&lt;=Calculator!C9,G263*Calculator!C11,"")</f>
        <v/>
      </c>
      <c r="F264" s="31">
        <f>IF(258&lt;=Calculator!C9,D264-E264,"")</f>
        <v/>
      </c>
      <c r="G264" s="31">
        <f>IF(258&lt;=Calculator!C9,G263-F264,"")</f>
        <v/>
      </c>
    </row>
    <row r="265">
      <c r="B265" s="26">
        <f>IF(259&lt;=Calculator!C9,259,"")</f>
        <v/>
      </c>
      <c r="C265" s="27">
        <f>IF(259&lt;=Calculator!C9,EDATE(Calculator!C10,259-1),"")</f>
        <v/>
      </c>
      <c r="D265" s="28">
        <f>IF(259&lt;=Calculator!C9,Calculator!C14,"")</f>
        <v/>
      </c>
      <c r="E265" s="28">
        <f>IF(259&lt;=Calculator!C9,G264*Calculator!C11,"")</f>
        <v/>
      </c>
      <c r="F265" s="28">
        <f>IF(259&lt;=Calculator!C9,D265-E265,"")</f>
        <v/>
      </c>
      <c r="G265" s="28">
        <f>IF(259&lt;=Calculator!C9,G264-F265,"")</f>
        <v/>
      </c>
    </row>
    <row r="266">
      <c r="B266" s="29">
        <f>IF(260&lt;=Calculator!C9,260,"")</f>
        <v/>
      </c>
      <c r="C266" s="30">
        <f>IF(260&lt;=Calculator!C9,EDATE(Calculator!C10,260-1),"")</f>
        <v/>
      </c>
      <c r="D266" s="31">
        <f>IF(260&lt;=Calculator!C9,Calculator!C14,"")</f>
        <v/>
      </c>
      <c r="E266" s="31">
        <f>IF(260&lt;=Calculator!C9,G265*Calculator!C11,"")</f>
        <v/>
      </c>
      <c r="F266" s="31">
        <f>IF(260&lt;=Calculator!C9,D266-E266,"")</f>
        <v/>
      </c>
      <c r="G266" s="31">
        <f>IF(260&lt;=Calculator!C9,G265-F266,"")</f>
        <v/>
      </c>
    </row>
    <row r="267">
      <c r="B267" s="26">
        <f>IF(261&lt;=Calculator!C9,261,"")</f>
        <v/>
      </c>
      <c r="C267" s="27">
        <f>IF(261&lt;=Calculator!C9,EDATE(Calculator!C10,261-1),"")</f>
        <v/>
      </c>
      <c r="D267" s="28">
        <f>IF(261&lt;=Calculator!C9,Calculator!C14,"")</f>
        <v/>
      </c>
      <c r="E267" s="28">
        <f>IF(261&lt;=Calculator!C9,G266*Calculator!C11,"")</f>
        <v/>
      </c>
      <c r="F267" s="28">
        <f>IF(261&lt;=Calculator!C9,D267-E267,"")</f>
        <v/>
      </c>
      <c r="G267" s="28">
        <f>IF(261&lt;=Calculator!C9,G266-F267,"")</f>
        <v/>
      </c>
    </row>
    <row r="268">
      <c r="B268" s="29">
        <f>IF(262&lt;=Calculator!C9,262,"")</f>
        <v/>
      </c>
      <c r="C268" s="30">
        <f>IF(262&lt;=Calculator!C9,EDATE(Calculator!C10,262-1),"")</f>
        <v/>
      </c>
      <c r="D268" s="31">
        <f>IF(262&lt;=Calculator!C9,Calculator!C14,"")</f>
        <v/>
      </c>
      <c r="E268" s="31">
        <f>IF(262&lt;=Calculator!C9,G267*Calculator!C11,"")</f>
        <v/>
      </c>
      <c r="F268" s="31">
        <f>IF(262&lt;=Calculator!C9,D268-E268,"")</f>
        <v/>
      </c>
      <c r="G268" s="31">
        <f>IF(262&lt;=Calculator!C9,G267-F268,"")</f>
        <v/>
      </c>
    </row>
    <row r="269">
      <c r="B269" s="26">
        <f>IF(263&lt;=Calculator!C9,263,"")</f>
        <v/>
      </c>
      <c r="C269" s="27">
        <f>IF(263&lt;=Calculator!C9,EDATE(Calculator!C10,263-1),"")</f>
        <v/>
      </c>
      <c r="D269" s="28">
        <f>IF(263&lt;=Calculator!C9,Calculator!C14,"")</f>
        <v/>
      </c>
      <c r="E269" s="28">
        <f>IF(263&lt;=Calculator!C9,G268*Calculator!C11,"")</f>
        <v/>
      </c>
      <c r="F269" s="28">
        <f>IF(263&lt;=Calculator!C9,D269-E269,"")</f>
        <v/>
      </c>
      <c r="G269" s="28">
        <f>IF(263&lt;=Calculator!C9,G268-F269,"")</f>
        <v/>
      </c>
    </row>
    <row r="270">
      <c r="B270" s="29">
        <f>IF(264&lt;=Calculator!C9,264,"")</f>
        <v/>
      </c>
      <c r="C270" s="30">
        <f>IF(264&lt;=Calculator!C9,EDATE(Calculator!C10,264-1),"")</f>
        <v/>
      </c>
      <c r="D270" s="31">
        <f>IF(264&lt;=Calculator!C9,Calculator!C14,"")</f>
        <v/>
      </c>
      <c r="E270" s="31">
        <f>IF(264&lt;=Calculator!C9,G269*Calculator!C11,"")</f>
        <v/>
      </c>
      <c r="F270" s="31">
        <f>IF(264&lt;=Calculator!C9,D270-E270,"")</f>
        <v/>
      </c>
      <c r="G270" s="31">
        <f>IF(264&lt;=Calculator!C9,G269-F270,"")</f>
        <v/>
      </c>
    </row>
    <row r="271">
      <c r="B271" s="26">
        <f>IF(265&lt;=Calculator!C9,265,"")</f>
        <v/>
      </c>
      <c r="C271" s="27">
        <f>IF(265&lt;=Calculator!C9,EDATE(Calculator!C10,265-1),"")</f>
        <v/>
      </c>
      <c r="D271" s="28">
        <f>IF(265&lt;=Calculator!C9,Calculator!C14,"")</f>
        <v/>
      </c>
      <c r="E271" s="28">
        <f>IF(265&lt;=Calculator!C9,G270*Calculator!C11,"")</f>
        <v/>
      </c>
      <c r="F271" s="28">
        <f>IF(265&lt;=Calculator!C9,D271-E271,"")</f>
        <v/>
      </c>
      <c r="G271" s="28">
        <f>IF(265&lt;=Calculator!C9,G270-F271,"")</f>
        <v/>
      </c>
    </row>
    <row r="272">
      <c r="B272" s="29">
        <f>IF(266&lt;=Calculator!C9,266,"")</f>
        <v/>
      </c>
      <c r="C272" s="30">
        <f>IF(266&lt;=Calculator!C9,EDATE(Calculator!C10,266-1),"")</f>
        <v/>
      </c>
      <c r="D272" s="31">
        <f>IF(266&lt;=Calculator!C9,Calculator!C14,"")</f>
        <v/>
      </c>
      <c r="E272" s="31">
        <f>IF(266&lt;=Calculator!C9,G271*Calculator!C11,"")</f>
        <v/>
      </c>
      <c r="F272" s="31">
        <f>IF(266&lt;=Calculator!C9,D272-E272,"")</f>
        <v/>
      </c>
      <c r="G272" s="31">
        <f>IF(266&lt;=Calculator!C9,G271-F272,"")</f>
        <v/>
      </c>
    </row>
    <row r="273">
      <c r="B273" s="26">
        <f>IF(267&lt;=Calculator!C9,267,"")</f>
        <v/>
      </c>
      <c r="C273" s="27">
        <f>IF(267&lt;=Calculator!C9,EDATE(Calculator!C10,267-1),"")</f>
        <v/>
      </c>
      <c r="D273" s="28">
        <f>IF(267&lt;=Calculator!C9,Calculator!C14,"")</f>
        <v/>
      </c>
      <c r="E273" s="28">
        <f>IF(267&lt;=Calculator!C9,G272*Calculator!C11,"")</f>
        <v/>
      </c>
      <c r="F273" s="28">
        <f>IF(267&lt;=Calculator!C9,D273-E273,"")</f>
        <v/>
      </c>
      <c r="G273" s="28">
        <f>IF(267&lt;=Calculator!C9,G272-F273,"")</f>
        <v/>
      </c>
    </row>
    <row r="274">
      <c r="B274" s="29">
        <f>IF(268&lt;=Calculator!C9,268,"")</f>
        <v/>
      </c>
      <c r="C274" s="30">
        <f>IF(268&lt;=Calculator!C9,EDATE(Calculator!C10,268-1),"")</f>
        <v/>
      </c>
      <c r="D274" s="31">
        <f>IF(268&lt;=Calculator!C9,Calculator!C14,"")</f>
        <v/>
      </c>
      <c r="E274" s="31">
        <f>IF(268&lt;=Calculator!C9,G273*Calculator!C11,"")</f>
        <v/>
      </c>
      <c r="F274" s="31">
        <f>IF(268&lt;=Calculator!C9,D274-E274,"")</f>
        <v/>
      </c>
      <c r="G274" s="31">
        <f>IF(268&lt;=Calculator!C9,G273-F274,"")</f>
        <v/>
      </c>
    </row>
    <row r="275">
      <c r="B275" s="26">
        <f>IF(269&lt;=Calculator!C9,269,"")</f>
        <v/>
      </c>
      <c r="C275" s="27">
        <f>IF(269&lt;=Calculator!C9,EDATE(Calculator!C10,269-1),"")</f>
        <v/>
      </c>
      <c r="D275" s="28">
        <f>IF(269&lt;=Calculator!C9,Calculator!C14,"")</f>
        <v/>
      </c>
      <c r="E275" s="28">
        <f>IF(269&lt;=Calculator!C9,G274*Calculator!C11,"")</f>
        <v/>
      </c>
      <c r="F275" s="28">
        <f>IF(269&lt;=Calculator!C9,D275-E275,"")</f>
        <v/>
      </c>
      <c r="G275" s="28">
        <f>IF(269&lt;=Calculator!C9,G274-F275,"")</f>
        <v/>
      </c>
    </row>
    <row r="276">
      <c r="B276" s="29">
        <f>IF(270&lt;=Calculator!C9,270,"")</f>
        <v/>
      </c>
      <c r="C276" s="30">
        <f>IF(270&lt;=Calculator!C9,EDATE(Calculator!C10,270-1),"")</f>
        <v/>
      </c>
      <c r="D276" s="31">
        <f>IF(270&lt;=Calculator!C9,Calculator!C14,"")</f>
        <v/>
      </c>
      <c r="E276" s="31">
        <f>IF(270&lt;=Calculator!C9,G275*Calculator!C11,"")</f>
        <v/>
      </c>
      <c r="F276" s="31">
        <f>IF(270&lt;=Calculator!C9,D276-E276,"")</f>
        <v/>
      </c>
      <c r="G276" s="31">
        <f>IF(270&lt;=Calculator!C9,G275-F276,"")</f>
        <v/>
      </c>
    </row>
    <row r="277">
      <c r="B277" s="26">
        <f>IF(271&lt;=Calculator!C9,271,"")</f>
        <v/>
      </c>
      <c r="C277" s="27">
        <f>IF(271&lt;=Calculator!C9,EDATE(Calculator!C10,271-1),"")</f>
        <v/>
      </c>
      <c r="D277" s="28">
        <f>IF(271&lt;=Calculator!C9,Calculator!C14,"")</f>
        <v/>
      </c>
      <c r="E277" s="28">
        <f>IF(271&lt;=Calculator!C9,G276*Calculator!C11,"")</f>
        <v/>
      </c>
      <c r="F277" s="28">
        <f>IF(271&lt;=Calculator!C9,D277-E277,"")</f>
        <v/>
      </c>
      <c r="G277" s="28">
        <f>IF(271&lt;=Calculator!C9,G276-F277,"")</f>
        <v/>
      </c>
    </row>
    <row r="278">
      <c r="B278" s="29">
        <f>IF(272&lt;=Calculator!C9,272,"")</f>
        <v/>
      </c>
      <c r="C278" s="30">
        <f>IF(272&lt;=Calculator!C9,EDATE(Calculator!C10,272-1),"")</f>
        <v/>
      </c>
      <c r="D278" s="31">
        <f>IF(272&lt;=Calculator!C9,Calculator!C14,"")</f>
        <v/>
      </c>
      <c r="E278" s="31">
        <f>IF(272&lt;=Calculator!C9,G277*Calculator!C11,"")</f>
        <v/>
      </c>
      <c r="F278" s="31">
        <f>IF(272&lt;=Calculator!C9,D278-E278,"")</f>
        <v/>
      </c>
      <c r="G278" s="31">
        <f>IF(272&lt;=Calculator!C9,G277-F278,"")</f>
        <v/>
      </c>
    </row>
    <row r="279">
      <c r="B279" s="26">
        <f>IF(273&lt;=Calculator!C9,273,"")</f>
        <v/>
      </c>
      <c r="C279" s="27">
        <f>IF(273&lt;=Calculator!C9,EDATE(Calculator!C10,273-1),"")</f>
        <v/>
      </c>
      <c r="D279" s="28">
        <f>IF(273&lt;=Calculator!C9,Calculator!C14,"")</f>
        <v/>
      </c>
      <c r="E279" s="28">
        <f>IF(273&lt;=Calculator!C9,G278*Calculator!C11,"")</f>
        <v/>
      </c>
      <c r="F279" s="28">
        <f>IF(273&lt;=Calculator!C9,D279-E279,"")</f>
        <v/>
      </c>
      <c r="G279" s="28">
        <f>IF(273&lt;=Calculator!C9,G278-F279,"")</f>
        <v/>
      </c>
    </row>
    <row r="280">
      <c r="B280" s="29">
        <f>IF(274&lt;=Calculator!C9,274,"")</f>
        <v/>
      </c>
      <c r="C280" s="30">
        <f>IF(274&lt;=Calculator!C9,EDATE(Calculator!C10,274-1),"")</f>
        <v/>
      </c>
      <c r="D280" s="31">
        <f>IF(274&lt;=Calculator!C9,Calculator!C14,"")</f>
        <v/>
      </c>
      <c r="E280" s="31">
        <f>IF(274&lt;=Calculator!C9,G279*Calculator!C11,"")</f>
        <v/>
      </c>
      <c r="F280" s="31">
        <f>IF(274&lt;=Calculator!C9,D280-E280,"")</f>
        <v/>
      </c>
      <c r="G280" s="31">
        <f>IF(274&lt;=Calculator!C9,G279-F280,"")</f>
        <v/>
      </c>
    </row>
    <row r="281">
      <c r="B281" s="26">
        <f>IF(275&lt;=Calculator!C9,275,"")</f>
        <v/>
      </c>
      <c r="C281" s="27">
        <f>IF(275&lt;=Calculator!C9,EDATE(Calculator!C10,275-1),"")</f>
        <v/>
      </c>
      <c r="D281" s="28">
        <f>IF(275&lt;=Calculator!C9,Calculator!C14,"")</f>
        <v/>
      </c>
      <c r="E281" s="28">
        <f>IF(275&lt;=Calculator!C9,G280*Calculator!C11,"")</f>
        <v/>
      </c>
      <c r="F281" s="28">
        <f>IF(275&lt;=Calculator!C9,D281-E281,"")</f>
        <v/>
      </c>
      <c r="G281" s="28">
        <f>IF(275&lt;=Calculator!C9,G280-F281,"")</f>
        <v/>
      </c>
    </row>
    <row r="282">
      <c r="B282" s="29">
        <f>IF(276&lt;=Calculator!C9,276,"")</f>
        <v/>
      </c>
      <c r="C282" s="30">
        <f>IF(276&lt;=Calculator!C9,EDATE(Calculator!C10,276-1),"")</f>
        <v/>
      </c>
      <c r="D282" s="31">
        <f>IF(276&lt;=Calculator!C9,Calculator!C14,"")</f>
        <v/>
      </c>
      <c r="E282" s="31">
        <f>IF(276&lt;=Calculator!C9,G281*Calculator!C11,"")</f>
        <v/>
      </c>
      <c r="F282" s="31">
        <f>IF(276&lt;=Calculator!C9,D282-E282,"")</f>
        <v/>
      </c>
      <c r="G282" s="31">
        <f>IF(276&lt;=Calculator!C9,G281-F282,"")</f>
        <v/>
      </c>
    </row>
    <row r="283">
      <c r="B283" s="26">
        <f>IF(277&lt;=Calculator!C9,277,"")</f>
        <v/>
      </c>
      <c r="C283" s="27">
        <f>IF(277&lt;=Calculator!C9,EDATE(Calculator!C10,277-1),"")</f>
        <v/>
      </c>
      <c r="D283" s="28">
        <f>IF(277&lt;=Calculator!C9,Calculator!C14,"")</f>
        <v/>
      </c>
      <c r="E283" s="28">
        <f>IF(277&lt;=Calculator!C9,G282*Calculator!C11,"")</f>
        <v/>
      </c>
      <c r="F283" s="28">
        <f>IF(277&lt;=Calculator!C9,D283-E283,"")</f>
        <v/>
      </c>
      <c r="G283" s="28">
        <f>IF(277&lt;=Calculator!C9,G282-F283,"")</f>
        <v/>
      </c>
    </row>
    <row r="284">
      <c r="B284" s="29">
        <f>IF(278&lt;=Calculator!C9,278,"")</f>
        <v/>
      </c>
      <c r="C284" s="30">
        <f>IF(278&lt;=Calculator!C9,EDATE(Calculator!C10,278-1),"")</f>
        <v/>
      </c>
      <c r="D284" s="31">
        <f>IF(278&lt;=Calculator!C9,Calculator!C14,"")</f>
        <v/>
      </c>
      <c r="E284" s="31">
        <f>IF(278&lt;=Calculator!C9,G283*Calculator!C11,"")</f>
        <v/>
      </c>
      <c r="F284" s="31">
        <f>IF(278&lt;=Calculator!C9,D284-E284,"")</f>
        <v/>
      </c>
      <c r="G284" s="31">
        <f>IF(278&lt;=Calculator!C9,G283-F284,"")</f>
        <v/>
      </c>
    </row>
    <row r="285">
      <c r="B285" s="26">
        <f>IF(279&lt;=Calculator!C9,279,"")</f>
        <v/>
      </c>
      <c r="C285" s="27">
        <f>IF(279&lt;=Calculator!C9,EDATE(Calculator!C10,279-1),"")</f>
        <v/>
      </c>
      <c r="D285" s="28">
        <f>IF(279&lt;=Calculator!C9,Calculator!C14,"")</f>
        <v/>
      </c>
      <c r="E285" s="28">
        <f>IF(279&lt;=Calculator!C9,G284*Calculator!C11,"")</f>
        <v/>
      </c>
      <c r="F285" s="28">
        <f>IF(279&lt;=Calculator!C9,D285-E285,"")</f>
        <v/>
      </c>
      <c r="G285" s="28">
        <f>IF(279&lt;=Calculator!C9,G284-F285,"")</f>
        <v/>
      </c>
    </row>
    <row r="286">
      <c r="B286" s="29">
        <f>IF(280&lt;=Calculator!C9,280,"")</f>
        <v/>
      </c>
      <c r="C286" s="30">
        <f>IF(280&lt;=Calculator!C9,EDATE(Calculator!C10,280-1),"")</f>
        <v/>
      </c>
      <c r="D286" s="31">
        <f>IF(280&lt;=Calculator!C9,Calculator!C14,"")</f>
        <v/>
      </c>
      <c r="E286" s="31">
        <f>IF(280&lt;=Calculator!C9,G285*Calculator!C11,"")</f>
        <v/>
      </c>
      <c r="F286" s="31">
        <f>IF(280&lt;=Calculator!C9,D286-E286,"")</f>
        <v/>
      </c>
      <c r="G286" s="31">
        <f>IF(280&lt;=Calculator!C9,G285-F286,"")</f>
        <v/>
      </c>
    </row>
    <row r="287">
      <c r="B287" s="26">
        <f>IF(281&lt;=Calculator!C9,281,"")</f>
        <v/>
      </c>
      <c r="C287" s="27">
        <f>IF(281&lt;=Calculator!C9,EDATE(Calculator!C10,281-1),"")</f>
        <v/>
      </c>
      <c r="D287" s="28">
        <f>IF(281&lt;=Calculator!C9,Calculator!C14,"")</f>
        <v/>
      </c>
      <c r="E287" s="28">
        <f>IF(281&lt;=Calculator!C9,G286*Calculator!C11,"")</f>
        <v/>
      </c>
      <c r="F287" s="28">
        <f>IF(281&lt;=Calculator!C9,D287-E287,"")</f>
        <v/>
      </c>
      <c r="G287" s="28">
        <f>IF(281&lt;=Calculator!C9,G286-F287,"")</f>
        <v/>
      </c>
    </row>
    <row r="288">
      <c r="B288" s="29">
        <f>IF(282&lt;=Calculator!C9,282,"")</f>
        <v/>
      </c>
      <c r="C288" s="30">
        <f>IF(282&lt;=Calculator!C9,EDATE(Calculator!C10,282-1),"")</f>
        <v/>
      </c>
      <c r="D288" s="31">
        <f>IF(282&lt;=Calculator!C9,Calculator!C14,"")</f>
        <v/>
      </c>
      <c r="E288" s="31">
        <f>IF(282&lt;=Calculator!C9,G287*Calculator!C11,"")</f>
        <v/>
      </c>
      <c r="F288" s="31">
        <f>IF(282&lt;=Calculator!C9,D288-E288,"")</f>
        <v/>
      </c>
      <c r="G288" s="31">
        <f>IF(282&lt;=Calculator!C9,G287-F288,"")</f>
        <v/>
      </c>
    </row>
    <row r="289">
      <c r="B289" s="26">
        <f>IF(283&lt;=Calculator!C9,283,"")</f>
        <v/>
      </c>
      <c r="C289" s="27">
        <f>IF(283&lt;=Calculator!C9,EDATE(Calculator!C10,283-1),"")</f>
        <v/>
      </c>
      <c r="D289" s="28">
        <f>IF(283&lt;=Calculator!C9,Calculator!C14,"")</f>
        <v/>
      </c>
      <c r="E289" s="28">
        <f>IF(283&lt;=Calculator!C9,G288*Calculator!C11,"")</f>
        <v/>
      </c>
      <c r="F289" s="28">
        <f>IF(283&lt;=Calculator!C9,D289-E289,"")</f>
        <v/>
      </c>
      <c r="G289" s="28">
        <f>IF(283&lt;=Calculator!C9,G288-F289,"")</f>
        <v/>
      </c>
    </row>
    <row r="290">
      <c r="B290" s="29">
        <f>IF(284&lt;=Calculator!C9,284,"")</f>
        <v/>
      </c>
      <c r="C290" s="30">
        <f>IF(284&lt;=Calculator!C9,EDATE(Calculator!C10,284-1),"")</f>
        <v/>
      </c>
      <c r="D290" s="31">
        <f>IF(284&lt;=Calculator!C9,Calculator!C14,"")</f>
        <v/>
      </c>
      <c r="E290" s="31">
        <f>IF(284&lt;=Calculator!C9,G289*Calculator!C11,"")</f>
        <v/>
      </c>
      <c r="F290" s="31">
        <f>IF(284&lt;=Calculator!C9,D290-E290,"")</f>
        <v/>
      </c>
      <c r="G290" s="31">
        <f>IF(284&lt;=Calculator!C9,G289-F290,"")</f>
        <v/>
      </c>
    </row>
    <row r="291">
      <c r="B291" s="26">
        <f>IF(285&lt;=Calculator!C9,285,"")</f>
        <v/>
      </c>
      <c r="C291" s="27">
        <f>IF(285&lt;=Calculator!C9,EDATE(Calculator!C10,285-1),"")</f>
        <v/>
      </c>
      <c r="D291" s="28">
        <f>IF(285&lt;=Calculator!C9,Calculator!C14,"")</f>
        <v/>
      </c>
      <c r="E291" s="28">
        <f>IF(285&lt;=Calculator!C9,G290*Calculator!C11,"")</f>
        <v/>
      </c>
      <c r="F291" s="28">
        <f>IF(285&lt;=Calculator!C9,D291-E291,"")</f>
        <v/>
      </c>
      <c r="G291" s="28">
        <f>IF(285&lt;=Calculator!C9,G290-F291,"")</f>
        <v/>
      </c>
    </row>
    <row r="292">
      <c r="B292" s="29">
        <f>IF(286&lt;=Calculator!C9,286,"")</f>
        <v/>
      </c>
      <c r="C292" s="30">
        <f>IF(286&lt;=Calculator!C9,EDATE(Calculator!C10,286-1),"")</f>
        <v/>
      </c>
      <c r="D292" s="31">
        <f>IF(286&lt;=Calculator!C9,Calculator!C14,"")</f>
        <v/>
      </c>
      <c r="E292" s="31">
        <f>IF(286&lt;=Calculator!C9,G291*Calculator!C11,"")</f>
        <v/>
      </c>
      <c r="F292" s="31">
        <f>IF(286&lt;=Calculator!C9,D292-E292,"")</f>
        <v/>
      </c>
      <c r="G292" s="31">
        <f>IF(286&lt;=Calculator!C9,G291-F292,"")</f>
        <v/>
      </c>
    </row>
    <row r="293">
      <c r="B293" s="26">
        <f>IF(287&lt;=Calculator!C9,287,"")</f>
        <v/>
      </c>
      <c r="C293" s="27">
        <f>IF(287&lt;=Calculator!C9,EDATE(Calculator!C10,287-1),"")</f>
        <v/>
      </c>
      <c r="D293" s="28">
        <f>IF(287&lt;=Calculator!C9,Calculator!C14,"")</f>
        <v/>
      </c>
      <c r="E293" s="28">
        <f>IF(287&lt;=Calculator!C9,G292*Calculator!C11,"")</f>
        <v/>
      </c>
      <c r="F293" s="28">
        <f>IF(287&lt;=Calculator!C9,D293-E293,"")</f>
        <v/>
      </c>
      <c r="G293" s="28">
        <f>IF(287&lt;=Calculator!C9,G292-F293,"")</f>
        <v/>
      </c>
    </row>
    <row r="294">
      <c r="B294" s="29">
        <f>IF(288&lt;=Calculator!C9,288,"")</f>
        <v/>
      </c>
      <c r="C294" s="30">
        <f>IF(288&lt;=Calculator!C9,EDATE(Calculator!C10,288-1),"")</f>
        <v/>
      </c>
      <c r="D294" s="31">
        <f>IF(288&lt;=Calculator!C9,Calculator!C14,"")</f>
        <v/>
      </c>
      <c r="E294" s="31">
        <f>IF(288&lt;=Calculator!C9,G293*Calculator!C11,"")</f>
        <v/>
      </c>
      <c r="F294" s="31">
        <f>IF(288&lt;=Calculator!C9,D294-E294,"")</f>
        <v/>
      </c>
      <c r="G294" s="31">
        <f>IF(288&lt;=Calculator!C9,G293-F294,"")</f>
        <v/>
      </c>
    </row>
    <row r="295">
      <c r="B295" s="26">
        <f>IF(289&lt;=Calculator!C9,289,"")</f>
        <v/>
      </c>
      <c r="C295" s="27">
        <f>IF(289&lt;=Calculator!C9,EDATE(Calculator!C10,289-1),"")</f>
        <v/>
      </c>
      <c r="D295" s="28">
        <f>IF(289&lt;=Calculator!C9,Calculator!C14,"")</f>
        <v/>
      </c>
      <c r="E295" s="28">
        <f>IF(289&lt;=Calculator!C9,G294*Calculator!C11,"")</f>
        <v/>
      </c>
      <c r="F295" s="28">
        <f>IF(289&lt;=Calculator!C9,D295-E295,"")</f>
        <v/>
      </c>
      <c r="G295" s="28">
        <f>IF(289&lt;=Calculator!C9,G294-F295,"")</f>
        <v/>
      </c>
    </row>
    <row r="296">
      <c r="B296" s="29">
        <f>IF(290&lt;=Calculator!C9,290,"")</f>
        <v/>
      </c>
      <c r="C296" s="30">
        <f>IF(290&lt;=Calculator!C9,EDATE(Calculator!C10,290-1),"")</f>
        <v/>
      </c>
      <c r="D296" s="31">
        <f>IF(290&lt;=Calculator!C9,Calculator!C14,"")</f>
        <v/>
      </c>
      <c r="E296" s="31">
        <f>IF(290&lt;=Calculator!C9,G295*Calculator!C11,"")</f>
        <v/>
      </c>
      <c r="F296" s="31">
        <f>IF(290&lt;=Calculator!C9,D296-E296,"")</f>
        <v/>
      </c>
      <c r="G296" s="31">
        <f>IF(290&lt;=Calculator!C9,G295-F296,"")</f>
        <v/>
      </c>
    </row>
    <row r="297">
      <c r="B297" s="26">
        <f>IF(291&lt;=Calculator!C9,291,"")</f>
        <v/>
      </c>
      <c r="C297" s="27">
        <f>IF(291&lt;=Calculator!C9,EDATE(Calculator!C10,291-1),"")</f>
        <v/>
      </c>
      <c r="D297" s="28">
        <f>IF(291&lt;=Calculator!C9,Calculator!C14,"")</f>
        <v/>
      </c>
      <c r="E297" s="28">
        <f>IF(291&lt;=Calculator!C9,G296*Calculator!C11,"")</f>
        <v/>
      </c>
      <c r="F297" s="28">
        <f>IF(291&lt;=Calculator!C9,D297-E297,"")</f>
        <v/>
      </c>
      <c r="G297" s="28">
        <f>IF(291&lt;=Calculator!C9,G296-F297,"")</f>
        <v/>
      </c>
    </row>
    <row r="298">
      <c r="B298" s="29">
        <f>IF(292&lt;=Calculator!C9,292,"")</f>
        <v/>
      </c>
      <c r="C298" s="30">
        <f>IF(292&lt;=Calculator!C9,EDATE(Calculator!C10,292-1),"")</f>
        <v/>
      </c>
      <c r="D298" s="31">
        <f>IF(292&lt;=Calculator!C9,Calculator!C14,"")</f>
        <v/>
      </c>
      <c r="E298" s="31">
        <f>IF(292&lt;=Calculator!C9,G297*Calculator!C11,"")</f>
        <v/>
      </c>
      <c r="F298" s="31">
        <f>IF(292&lt;=Calculator!C9,D298-E298,"")</f>
        <v/>
      </c>
      <c r="G298" s="31">
        <f>IF(292&lt;=Calculator!C9,G297-F298,"")</f>
        <v/>
      </c>
    </row>
    <row r="299">
      <c r="B299" s="26">
        <f>IF(293&lt;=Calculator!C9,293,"")</f>
        <v/>
      </c>
      <c r="C299" s="27">
        <f>IF(293&lt;=Calculator!C9,EDATE(Calculator!C10,293-1),"")</f>
        <v/>
      </c>
      <c r="D299" s="28">
        <f>IF(293&lt;=Calculator!C9,Calculator!C14,"")</f>
        <v/>
      </c>
      <c r="E299" s="28">
        <f>IF(293&lt;=Calculator!C9,G298*Calculator!C11,"")</f>
        <v/>
      </c>
      <c r="F299" s="28">
        <f>IF(293&lt;=Calculator!C9,D299-E299,"")</f>
        <v/>
      </c>
      <c r="G299" s="28">
        <f>IF(293&lt;=Calculator!C9,G298-F299,"")</f>
        <v/>
      </c>
    </row>
    <row r="300">
      <c r="B300" s="29">
        <f>IF(294&lt;=Calculator!C9,294,"")</f>
        <v/>
      </c>
      <c r="C300" s="30">
        <f>IF(294&lt;=Calculator!C9,EDATE(Calculator!C10,294-1),"")</f>
        <v/>
      </c>
      <c r="D300" s="31">
        <f>IF(294&lt;=Calculator!C9,Calculator!C14,"")</f>
        <v/>
      </c>
      <c r="E300" s="31">
        <f>IF(294&lt;=Calculator!C9,G299*Calculator!C11,"")</f>
        <v/>
      </c>
      <c r="F300" s="31">
        <f>IF(294&lt;=Calculator!C9,D300-E300,"")</f>
        <v/>
      </c>
      <c r="G300" s="31">
        <f>IF(294&lt;=Calculator!C9,G299-F300,"")</f>
        <v/>
      </c>
    </row>
    <row r="301">
      <c r="B301" s="26">
        <f>IF(295&lt;=Calculator!C9,295,"")</f>
        <v/>
      </c>
      <c r="C301" s="27">
        <f>IF(295&lt;=Calculator!C9,EDATE(Calculator!C10,295-1),"")</f>
        <v/>
      </c>
      <c r="D301" s="28">
        <f>IF(295&lt;=Calculator!C9,Calculator!C14,"")</f>
        <v/>
      </c>
      <c r="E301" s="28">
        <f>IF(295&lt;=Calculator!C9,G300*Calculator!C11,"")</f>
        <v/>
      </c>
      <c r="F301" s="28">
        <f>IF(295&lt;=Calculator!C9,D301-E301,"")</f>
        <v/>
      </c>
      <c r="G301" s="28">
        <f>IF(295&lt;=Calculator!C9,G300-F301,"")</f>
        <v/>
      </c>
    </row>
    <row r="302">
      <c r="B302" s="29">
        <f>IF(296&lt;=Calculator!C9,296,"")</f>
        <v/>
      </c>
      <c r="C302" s="30">
        <f>IF(296&lt;=Calculator!C9,EDATE(Calculator!C10,296-1),"")</f>
        <v/>
      </c>
      <c r="D302" s="31">
        <f>IF(296&lt;=Calculator!C9,Calculator!C14,"")</f>
        <v/>
      </c>
      <c r="E302" s="31">
        <f>IF(296&lt;=Calculator!C9,G301*Calculator!C11,"")</f>
        <v/>
      </c>
      <c r="F302" s="31">
        <f>IF(296&lt;=Calculator!C9,D302-E302,"")</f>
        <v/>
      </c>
      <c r="G302" s="31">
        <f>IF(296&lt;=Calculator!C9,G301-F302,"")</f>
        <v/>
      </c>
    </row>
    <row r="303">
      <c r="B303" s="26">
        <f>IF(297&lt;=Calculator!C9,297,"")</f>
        <v/>
      </c>
      <c r="C303" s="27">
        <f>IF(297&lt;=Calculator!C9,EDATE(Calculator!C10,297-1),"")</f>
        <v/>
      </c>
      <c r="D303" s="28">
        <f>IF(297&lt;=Calculator!C9,Calculator!C14,"")</f>
        <v/>
      </c>
      <c r="E303" s="28">
        <f>IF(297&lt;=Calculator!C9,G302*Calculator!C11,"")</f>
        <v/>
      </c>
      <c r="F303" s="28">
        <f>IF(297&lt;=Calculator!C9,D303-E303,"")</f>
        <v/>
      </c>
      <c r="G303" s="28">
        <f>IF(297&lt;=Calculator!C9,G302-F303,"")</f>
        <v/>
      </c>
    </row>
    <row r="304">
      <c r="B304" s="29">
        <f>IF(298&lt;=Calculator!C9,298,"")</f>
        <v/>
      </c>
      <c r="C304" s="30">
        <f>IF(298&lt;=Calculator!C9,EDATE(Calculator!C10,298-1),"")</f>
        <v/>
      </c>
      <c r="D304" s="31">
        <f>IF(298&lt;=Calculator!C9,Calculator!C14,"")</f>
        <v/>
      </c>
      <c r="E304" s="31">
        <f>IF(298&lt;=Calculator!C9,G303*Calculator!C11,"")</f>
        <v/>
      </c>
      <c r="F304" s="31">
        <f>IF(298&lt;=Calculator!C9,D304-E304,"")</f>
        <v/>
      </c>
      <c r="G304" s="31">
        <f>IF(298&lt;=Calculator!C9,G303-F304,"")</f>
        <v/>
      </c>
    </row>
    <row r="305">
      <c r="B305" s="26">
        <f>IF(299&lt;=Calculator!C9,299,"")</f>
        <v/>
      </c>
      <c r="C305" s="27">
        <f>IF(299&lt;=Calculator!C9,EDATE(Calculator!C10,299-1),"")</f>
        <v/>
      </c>
      <c r="D305" s="28">
        <f>IF(299&lt;=Calculator!C9,Calculator!C14,"")</f>
        <v/>
      </c>
      <c r="E305" s="28">
        <f>IF(299&lt;=Calculator!C9,G304*Calculator!C11,"")</f>
        <v/>
      </c>
      <c r="F305" s="28">
        <f>IF(299&lt;=Calculator!C9,D305-E305,"")</f>
        <v/>
      </c>
      <c r="G305" s="28">
        <f>IF(299&lt;=Calculator!C9,G304-F305,"")</f>
        <v/>
      </c>
    </row>
    <row r="306">
      <c r="B306" s="29">
        <f>IF(300&lt;=Calculator!C9,300,"")</f>
        <v/>
      </c>
      <c r="C306" s="30">
        <f>IF(300&lt;=Calculator!C9,EDATE(Calculator!C10,300-1),"")</f>
        <v/>
      </c>
      <c r="D306" s="31">
        <f>IF(300&lt;=Calculator!C9,Calculator!C14,"")</f>
        <v/>
      </c>
      <c r="E306" s="31">
        <f>IF(300&lt;=Calculator!C9,G305*Calculator!C11,"")</f>
        <v/>
      </c>
      <c r="F306" s="31">
        <f>IF(300&lt;=Calculator!C9,D306-E306,"")</f>
        <v/>
      </c>
      <c r="G306" s="31">
        <f>IF(300&lt;=Calculator!C9,G305-F306,"")</f>
        <v/>
      </c>
    </row>
    <row r="307">
      <c r="B307" s="26">
        <f>IF(301&lt;=Calculator!C9,301,"")</f>
        <v/>
      </c>
      <c r="C307" s="27">
        <f>IF(301&lt;=Calculator!C9,EDATE(Calculator!C10,301-1),"")</f>
        <v/>
      </c>
      <c r="D307" s="28">
        <f>IF(301&lt;=Calculator!C9,Calculator!C14,"")</f>
        <v/>
      </c>
      <c r="E307" s="28">
        <f>IF(301&lt;=Calculator!C9,G306*Calculator!C11,"")</f>
        <v/>
      </c>
      <c r="F307" s="28">
        <f>IF(301&lt;=Calculator!C9,D307-E307,"")</f>
        <v/>
      </c>
      <c r="G307" s="28">
        <f>IF(301&lt;=Calculator!C9,G306-F307,"")</f>
        <v/>
      </c>
    </row>
    <row r="308">
      <c r="B308" s="29">
        <f>IF(302&lt;=Calculator!C9,302,"")</f>
        <v/>
      </c>
      <c r="C308" s="30">
        <f>IF(302&lt;=Calculator!C9,EDATE(Calculator!C10,302-1),"")</f>
        <v/>
      </c>
      <c r="D308" s="31">
        <f>IF(302&lt;=Calculator!C9,Calculator!C14,"")</f>
        <v/>
      </c>
      <c r="E308" s="31">
        <f>IF(302&lt;=Calculator!C9,G307*Calculator!C11,"")</f>
        <v/>
      </c>
      <c r="F308" s="31">
        <f>IF(302&lt;=Calculator!C9,D308-E308,"")</f>
        <v/>
      </c>
      <c r="G308" s="31">
        <f>IF(302&lt;=Calculator!C9,G307-F308,"")</f>
        <v/>
      </c>
    </row>
    <row r="309">
      <c r="B309" s="26">
        <f>IF(303&lt;=Calculator!C9,303,"")</f>
        <v/>
      </c>
      <c r="C309" s="27">
        <f>IF(303&lt;=Calculator!C9,EDATE(Calculator!C10,303-1),"")</f>
        <v/>
      </c>
      <c r="D309" s="28">
        <f>IF(303&lt;=Calculator!C9,Calculator!C14,"")</f>
        <v/>
      </c>
      <c r="E309" s="28">
        <f>IF(303&lt;=Calculator!C9,G308*Calculator!C11,"")</f>
        <v/>
      </c>
      <c r="F309" s="28">
        <f>IF(303&lt;=Calculator!C9,D309-E309,"")</f>
        <v/>
      </c>
      <c r="G309" s="28">
        <f>IF(303&lt;=Calculator!C9,G308-F309,"")</f>
        <v/>
      </c>
    </row>
    <row r="310">
      <c r="B310" s="29">
        <f>IF(304&lt;=Calculator!C9,304,"")</f>
        <v/>
      </c>
      <c r="C310" s="30">
        <f>IF(304&lt;=Calculator!C9,EDATE(Calculator!C10,304-1),"")</f>
        <v/>
      </c>
      <c r="D310" s="31">
        <f>IF(304&lt;=Calculator!C9,Calculator!C14,"")</f>
        <v/>
      </c>
      <c r="E310" s="31">
        <f>IF(304&lt;=Calculator!C9,G309*Calculator!C11,"")</f>
        <v/>
      </c>
      <c r="F310" s="31">
        <f>IF(304&lt;=Calculator!C9,D310-E310,"")</f>
        <v/>
      </c>
      <c r="G310" s="31">
        <f>IF(304&lt;=Calculator!C9,G309-F310,"")</f>
        <v/>
      </c>
    </row>
    <row r="311">
      <c r="B311" s="26">
        <f>IF(305&lt;=Calculator!C9,305,"")</f>
        <v/>
      </c>
      <c r="C311" s="27">
        <f>IF(305&lt;=Calculator!C9,EDATE(Calculator!C10,305-1),"")</f>
        <v/>
      </c>
      <c r="D311" s="28">
        <f>IF(305&lt;=Calculator!C9,Calculator!C14,"")</f>
        <v/>
      </c>
      <c r="E311" s="28">
        <f>IF(305&lt;=Calculator!C9,G310*Calculator!C11,"")</f>
        <v/>
      </c>
      <c r="F311" s="28">
        <f>IF(305&lt;=Calculator!C9,D311-E311,"")</f>
        <v/>
      </c>
      <c r="G311" s="28">
        <f>IF(305&lt;=Calculator!C9,G310-F311,"")</f>
        <v/>
      </c>
    </row>
    <row r="312">
      <c r="B312" s="29">
        <f>IF(306&lt;=Calculator!C9,306,"")</f>
        <v/>
      </c>
      <c r="C312" s="30">
        <f>IF(306&lt;=Calculator!C9,EDATE(Calculator!C10,306-1),"")</f>
        <v/>
      </c>
      <c r="D312" s="31">
        <f>IF(306&lt;=Calculator!C9,Calculator!C14,"")</f>
        <v/>
      </c>
      <c r="E312" s="31">
        <f>IF(306&lt;=Calculator!C9,G311*Calculator!C11,"")</f>
        <v/>
      </c>
      <c r="F312" s="31">
        <f>IF(306&lt;=Calculator!C9,D312-E312,"")</f>
        <v/>
      </c>
      <c r="G312" s="31">
        <f>IF(306&lt;=Calculator!C9,G311-F312,"")</f>
        <v/>
      </c>
    </row>
    <row r="313">
      <c r="B313" s="26">
        <f>IF(307&lt;=Calculator!C9,307,"")</f>
        <v/>
      </c>
      <c r="C313" s="27">
        <f>IF(307&lt;=Calculator!C9,EDATE(Calculator!C10,307-1),"")</f>
        <v/>
      </c>
      <c r="D313" s="28">
        <f>IF(307&lt;=Calculator!C9,Calculator!C14,"")</f>
        <v/>
      </c>
      <c r="E313" s="28">
        <f>IF(307&lt;=Calculator!C9,G312*Calculator!C11,"")</f>
        <v/>
      </c>
      <c r="F313" s="28">
        <f>IF(307&lt;=Calculator!C9,D313-E313,"")</f>
        <v/>
      </c>
      <c r="G313" s="28">
        <f>IF(307&lt;=Calculator!C9,G312-F313,"")</f>
        <v/>
      </c>
    </row>
    <row r="314">
      <c r="B314" s="29">
        <f>IF(308&lt;=Calculator!C9,308,"")</f>
        <v/>
      </c>
      <c r="C314" s="30">
        <f>IF(308&lt;=Calculator!C9,EDATE(Calculator!C10,308-1),"")</f>
        <v/>
      </c>
      <c r="D314" s="31">
        <f>IF(308&lt;=Calculator!C9,Calculator!C14,"")</f>
        <v/>
      </c>
      <c r="E314" s="31">
        <f>IF(308&lt;=Calculator!C9,G313*Calculator!C11,"")</f>
        <v/>
      </c>
      <c r="F314" s="31">
        <f>IF(308&lt;=Calculator!C9,D314-E314,"")</f>
        <v/>
      </c>
      <c r="G314" s="31">
        <f>IF(308&lt;=Calculator!C9,G313-F314,"")</f>
        <v/>
      </c>
    </row>
    <row r="315">
      <c r="B315" s="26">
        <f>IF(309&lt;=Calculator!C9,309,"")</f>
        <v/>
      </c>
      <c r="C315" s="27">
        <f>IF(309&lt;=Calculator!C9,EDATE(Calculator!C10,309-1),"")</f>
        <v/>
      </c>
      <c r="D315" s="28">
        <f>IF(309&lt;=Calculator!C9,Calculator!C14,"")</f>
        <v/>
      </c>
      <c r="E315" s="28">
        <f>IF(309&lt;=Calculator!C9,G314*Calculator!C11,"")</f>
        <v/>
      </c>
      <c r="F315" s="28">
        <f>IF(309&lt;=Calculator!C9,D315-E315,"")</f>
        <v/>
      </c>
      <c r="G315" s="28">
        <f>IF(309&lt;=Calculator!C9,G314-F315,"")</f>
        <v/>
      </c>
    </row>
    <row r="316">
      <c r="B316" s="29">
        <f>IF(310&lt;=Calculator!C9,310,"")</f>
        <v/>
      </c>
      <c r="C316" s="30">
        <f>IF(310&lt;=Calculator!C9,EDATE(Calculator!C10,310-1),"")</f>
        <v/>
      </c>
      <c r="D316" s="31">
        <f>IF(310&lt;=Calculator!C9,Calculator!C14,"")</f>
        <v/>
      </c>
      <c r="E316" s="31">
        <f>IF(310&lt;=Calculator!C9,G315*Calculator!C11,"")</f>
        <v/>
      </c>
      <c r="F316" s="31">
        <f>IF(310&lt;=Calculator!C9,D316-E316,"")</f>
        <v/>
      </c>
      <c r="G316" s="31">
        <f>IF(310&lt;=Calculator!C9,G315-F316,"")</f>
        <v/>
      </c>
    </row>
    <row r="317">
      <c r="B317" s="26">
        <f>IF(311&lt;=Calculator!C9,311,"")</f>
        <v/>
      </c>
      <c r="C317" s="27">
        <f>IF(311&lt;=Calculator!C9,EDATE(Calculator!C10,311-1),"")</f>
        <v/>
      </c>
      <c r="D317" s="28">
        <f>IF(311&lt;=Calculator!C9,Calculator!C14,"")</f>
        <v/>
      </c>
      <c r="E317" s="28">
        <f>IF(311&lt;=Calculator!C9,G316*Calculator!C11,"")</f>
        <v/>
      </c>
      <c r="F317" s="28">
        <f>IF(311&lt;=Calculator!C9,D317-E317,"")</f>
        <v/>
      </c>
      <c r="G317" s="28">
        <f>IF(311&lt;=Calculator!C9,G316-F317,"")</f>
        <v/>
      </c>
    </row>
    <row r="318">
      <c r="B318" s="29">
        <f>IF(312&lt;=Calculator!C9,312,"")</f>
        <v/>
      </c>
      <c r="C318" s="30">
        <f>IF(312&lt;=Calculator!C9,EDATE(Calculator!C10,312-1),"")</f>
        <v/>
      </c>
      <c r="D318" s="31">
        <f>IF(312&lt;=Calculator!C9,Calculator!C14,"")</f>
        <v/>
      </c>
      <c r="E318" s="31">
        <f>IF(312&lt;=Calculator!C9,G317*Calculator!C11,"")</f>
        <v/>
      </c>
      <c r="F318" s="31">
        <f>IF(312&lt;=Calculator!C9,D318-E318,"")</f>
        <v/>
      </c>
      <c r="G318" s="31">
        <f>IF(312&lt;=Calculator!C9,G317-F318,"")</f>
        <v/>
      </c>
    </row>
    <row r="319">
      <c r="B319" s="26">
        <f>IF(313&lt;=Calculator!C9,313,"")</f>
        <v/>
      </c>
      <c r="C319" s="27">
        <f>IF(313&lt;=Calculator!C9,EDATE(Calculator!C10,313-1),"")</f>
        <v/>
      </c>
      <c r="D319" s="28">
        <f>IF(313&lt;=Calculator!C9,Calculator!C14,"")</f>
        <v/>
      </c>
      <c r="E319" s="28">
        <f>IF(313&lt;=Calculator!C9,G318*Calculator!C11,"")</f>
        <v/>
      </c>
      <c r="F319" s="28">
        <f>IF(313&lt;=Calculator!C9,D319-E319,"")</f>
        <v/>
      </c>
      <c r="G319" s="28">
        <f>IF(313&lt;=Calculator!C9,G318-F319,"")</f>
        <v/>
      </c>
    </row>
    <row r="320">
      <c r="B320" s="29">
        <f>IF(314&lt;=Calculator!C9,314,"")</f>
        <v/>
      </c>
      <c r="C320" s="30">
        <f>IF(314&lt;=Calculator!C9,EDATE(Calculator!C10,314-1),"")</f>
        <v/>
      </c>
      <c r="D320" s="31">
        <f>IF(314&lt;=Calculator!C9,Calculator!C14,"")</f>
        <v/>
      </c>
      <c r="E320" s="31">
        <f>IF(314&lt;=Calculator!C9,G319*Calculator!C11,"")</f>
        <v/>
      </c>
      <c r="F320" s="31">
        <f>IF(314&lt;=Calculator!C9,D320-E320,"")</f>
        <v/>
      </c>
      <c r="G320" s="31">
        <f>IF(314&lt;=Calculator!C9,G319-F320,"")</f>
        <v/>
      </c>
    </row>
    <row r="321">
      <c r="B321" s="26">
        <f>IF(315&lt;=Calculator!C9,315,"")</f>
        <v/>
      </c>
      <c r="C321" s="27">
        <f>IF(315&lt;=Calculator!C9,EDATE(Calculator!C10,315-1),"")</f>
        <v/>
      </c>
      <c r="D321" s="28">
        <f>IF(315&lt;=Calculator!C9,Calculator!C14,"")</f>
        <v/>
      </c>
      <c r="E321" s="28">
        <f>IF(315&lt;=Calculator!C9,G320*Calculator!C11,"")</f>
        <v/>
      </c>
      <c r="F321" s="28">
        <f>IF(315&lt;=Calculator!C9,D321-E321,"")</f>
        <v/>
      </c>
      <c r="G321" s="28">
        <f>IF(315&lt;=Calculator!C9,G320-F321,"")</f>
        <v/>
      </c>
    </row>
    <row r="322">
      <c r="B322" s="29">
        <f>IF(316&lt;=Calculator!C9,316,"")</f>
        <v/>
      </c>
      <c r="C322" s="30">
        <f>IF(316&lt;=Calculator!C9,EDATE(Calculator!C10,316-1),"")</f>
        <v/>
      </c>
      <c r="D322" s="31">
        <f>IF(316&lt;=Calculator!C9,Calculator!C14,"")</f>
        <v/>
      </c>
      <c r="E322" s="31">
        <f>IF(316&lt;=Calculator!C9,G321*Calculator!C11,"")</f>
        <v/>
      </c>
      <c r="F322" s="31">
        <f>IF(316&lt;=Calculator!C9,D322-E322,"")</f>
        <v/>
      </c>
      <c r="G322" s="31">
        <f>IF(316&lt;=Calculator!C9,G321-F322,"")</f>
        <v/>
      </c>
    </row>
    <row r="323">
      <c r="B323" s="26">
        <f>IF(317&lt;=Calculator!C9,317,"")</f>
        <v/>
      </c>
      <c r="C323" s="27">
        <f>IF(317&lt;=Calculator!C9,EDATE(Calculator!C10,317-1),"")</f>
        <v/>
      </c>
      <c r="D323" s="28">
        <f>IF(317&lt;=Calculator!C9,Calculator!C14,"")</f>
        <v/>
      </c>
      <c r="E323" s="28">
        <f>IF(317&lt;=Calculator!C9,G322*Calculator!C11,"")</f>
        <v/>
      </c>
      <c r="F323" s="28">
        <f>IF(317&lt;=Calculator!C9,D323-E323,"")</f>
        <v/>
      </c>
      <c r="G323" s="28">
        <f>IF(317&lt;=Calculator!C9,G322-F323,"")</f>
        <v/>
      </c>
    </row>
    <row r="324">
      <c r="B324" s="29">
        <f>IF(318&lt;=Calculator!C9,318,"")</f>
        <v/>
      </c>
      <c r="C324" s="30">
        <f>IF(318&lt;=Calculator!C9,EDATE(Calculator!C10,318-1),"")</f>
        <v/>
      </c>
      <c r="D324" s="31">
        <f>IF(318&lt;=Calculator!C9,Calculator!C14,"")</f>
        <v/>
      </c>
      <c r="E324" s="31">
        <f>IF(318&lt;=Calculator!C9,G323*Calculator!C11,"")</f>
        <v/>
      </c>
      <c r="F324" s="31">
        <f>IF(318&lt;=Calculator!C9,D324-E324,"")</f>
        <v/>
      </c>
      <c r="G324" s="31">
        <f>IF(318&lt;=Calculator!C9,G323-F324,"")</f>
        <v/>
      </c>
    </row>
    <row r="325">
      <c r="B325" s="26">
        <f>IF(319&lt;=Calculator!C9,319,"")</f>
        <v/>
      </c>
      <c r="C325" s="27">
        <f>IF(319&lt;=Calculator!C9,EDATE(Calculator!C10,319-1),"")</f>
        <v/>
      </c>
      <c r="D325" s="28">
        <f>IF(319&lt;=Calculator!C9,Calculator!C14,"")</f>
        <v/>
      </c>
      <c r="E325" s="28">
        <f>IF(319&lt;=Calculator!C9,G324*Calculator!C11,"")</f>
        <v/>
      </c>
      <c r="F325" s="28">
        <f>IF(319&lt;=Calculator!C9,D325-E325,"")</f>
        <v/>
      </c>
      <c r="G325" s="28">
        <f>IF(319&lt;=Calculator!C9,G324-F325,"")</f>
        <v/>
      </c>
    </row>
    <row r="326">
      <c r="B326" s="29">
        <f>IF(320&lt;=Calculator!C9,320,"")</f>
        <v/>
      </c>
      <c r="C326" s="30">
        <f>IF(320&lt;=Calculator!C9,EDATE(Calculator!C10,320-1),"")</f>
        <v/>
      </c>
      <c r="D326" s="31">
        <f>IF(320&lt;=Calculator!C9,Calculator!C14,"")</f>
        <v/>
      </c>
      <c r="E326" s="31">
        <f>IF(320&lt;=Calculator!C9,G325*Calculator!C11,"")</f>
        <v/>
      </c>
      <c r="F326" s="31">
        <f>IF(320&lt;=Calculator!C9,D326-E326,"")</f>
        <v/>
      </c>
      <c r="G326" s="31">
        <f>IF(320&lt;=Calculator!C9,G325-F326,"")</f>
        <v/>
      </c>
    </row>
    <row r="327">
      <c r="B327" s="26">
        <f>IF(321&lt;=Calculator!C9,321,"")</f>
        <v/>
      </c>
      <c r="C327" s="27">
        <f>IF(321&lt;=Calculator!C9,EDATE(Calculator!C10,321-1),"")</f>
        <v/>
      </c>
      <c r="D327" s="28">
        <f>IF(321&lt;=Calculator!C9,Calculator!C14,"")</f>
        <v/>
      </c>
      <c r="E327" s="28">
        <f>IF(321&lt;=Calculator!C9,G326*Calculator!C11,"")</f>
        <v/>
      </c>
      <c r="F327" s="28">
        <f>IF(321&lt;=Calculator!C9,D327-E327,"")</f>
        <v/>
      </c>
      <c r="G327" s="28">
        <f>IF(321&lt;=Calculator!C9,G326-F327,"")</f>
        <v/>
      </c>
    </row>
    <row r="328">
      <c r="B328" s="29">
        <f>IF(322&lt;=Calculator!C9,322,"")</f>
        <v/>
      </c>
      <c r="C328" s="30">
        <f>IF(322&lt;=Calculator!C9,EDATE(Calculator!C10,322-1),"")</f>
        <v/>
      </c>
      <c r="D328" s="31">
        <f>IF(322&lt;=Calculator!C9,Calculator!C14,"")</f>
        <v/>
      </c>
      <c r="E328" s="31">
        <f>IF(322&lt;=Calculator!C9,G327*Calculator!C11,"")</f>
        <v/>
      </c>
      <c r="F328" s="31">
        <f>IF(322&lt;=Calculator!C9,D328-E328,"")</f>
        <v/>
      </c>
      <c r="G328" s="31">
        <f>IF(322&lt;=Calculator!C9,G327-F328,"")</f>
        <v/>
      </c>
    </row>
    <row r="329">
      <c r="B329" s="26">
        <f>IF(323&lt;=Calculator!C9,323,"")</f>
        <v/>
      </c>
      <c r="C329" s="27">
        <f>IF(323&lt;=Calculator!C9,EDATE(Calculator!C10,323-1),"")</f>
        <v/>
      </c>
      <c r="D329" s="28">
        <f>IF(323&lt;=Calculator!C9,Calculator!C14,"")</f>
        <v/>
      </c>
      <c r="E329" s="28">
        <f>IF(323&lt;=Calculator!C9,G328*Calculator!C11,"")</f>
        <v/>
      </c>
      <c r="F329" s="28">
        <f>IF(323&lt;=Calculator!C9,D329-E329,"")</f>
        <v/>
      </c>
      <c r="G329" s="28">
        <f>IF(323&lt;=Calculator!C9,G328-F329,"")</f>
        <v/>
      </c>
    </row>
    <row r="330">
      <c r="B330" s="29">
        <f>IF(324&lt;=Calculator!C9,324,"")</f>
        <v/>
      </c>
      <c r="C330" s="30">
        <f>IF(324&lt;=Calculator!C9,EDATE(Calculator!C10,324-1),"")</f>
        <v/>
      </c>
      <c r="D330" s="31">
        <f>IF(324&lt;=Calculator!C9,Calculator!C14,"")</f>
        <v/>
      </c>
      <c r="E330" s="31">
        <f>IF(324&lt;=Calculator!C9,G329*Calculator!C11,"")</f>
        <v/>
      </c>
      <c r="F330" s="31">
        <f>IF(324&lt;=Calculator!C9,D330-E330,"")</f>
        <v/>
      </c>
      <c r="G330" s="31">
        <f>IF(324&lt;=Calculator!C9,G329-F330,"")</f>
        <v/>
      </c>
    </row>
    <row r="331">
      <c r="B331" s="26">
        <f>IF(325&lt;=Calculator!C9,325,"")</f>
        <v/>
      </c>
      <c r="C331" s="27">
        <f>IF(325&lt;=Calculator!C9,EDATE(Calculator!C10,325-1),"")</f>
        <v/>
      </c>
      <c r="D331" s="28">
        <f>IF(325&lt;=Calculator!C9,Calculator!C14,"")</f>
        <v/>
      </c>
      <c r="E331" s="28">
        <f>IF(325&lt;=Calculator!C9,G330*Calculator!C11,"")</f>
        <v/>
      </c>
      <c r="F331" s="28">
        <f>IF(325&lt;=Calculator!C9,D331-E331,"")</f>
        <v/>
      </c>
      <c r="G331" s="28">
        <f>IF(325&lt;=Calculator!C9,G330-F331,"")</f>
        <v/>
      </c>
    </row>
    <row r="332">
      <c r="B332" s="29">
        <f>IF(326&lt;=Calculator!C9,326,"")</f>
        <v/>
      </c>
      <c r="C332" s="30">
        <f>IF(326&lt;=Calculator!C9,EDATE(Calculator!C10,326-1),"")</f>
        <v/>
      </c>
      <c r="D332" s="31">
        <f>IF(326&lt;=Calculator!C9,Calculator!C14,"")</f>
        <v/>
      </c>
      <c r="E332" s="31">
        <f>IF(326&lt;=Calculator!C9,G331*Calculator!C11,"")</f>
        <v/>
      </c>
      <c r="F332" s="31">
        <f>IF(326&lt;=Calculator!C9,D332-E332,"")</f>
        <v/>
      </c>
      <c r="G332" s="31">
        <f>IF(326&lt;=Calculator!C9,G331-F332,"")</f>
        <v/>
      </c>
    </row>
    <row r="333">
      <c r="B333" s="26">
        <f>IF(327&lt;=Calculator!C9,327,"")</f>
        <v/>
      </c>
      <c r="C333" s="27">
        <f>IF(327&lt;=Calculator!C9,EDATE(Calculator!C10,327-1),"")</f>
        <v/>
      </c>
      <c r="D333" s="28">
        <f>IF(327&lt;=Calculator!C9,Calculator!C14,"")</f>
        <v/>
      </c>
      <c r="E333" s="28">
        <f>IF(327&lt;=Calculator!C9,G332*Calculator!C11,"")</f>
        <v/>
      </c>
      <c r="F333" s="28">
        <f>IF(327&lt;=Calculator!C9,D333-E333,"")</f>
        <v/>
      </c>
      <c r="G333" s="28">
        <f>IF(327&lt;=Calculator!C9,G332-F333,"")</f>
        <v/>
      </c>
    </row>
    <row r="334">
      <c r="B334" s="29">
        <f>IF(328&lt;=Calculator!C9,328,"")</f>
        <v/>
      </c>
      <c r="C334" s="30">
        <f>IF(328&lt;=Calculator!C9,EDATE(Calculator!C10,328-1),"")</f>
        <v/>
      </c>
      <c r="D334" s="31">
        <f>IF(328&lt;=Calculator!C9,Calculator!C14,"")</f>
        <v/>
      </c>
      <c r="E334" s="31">
        <f>IF(328&lt;=Calculator!C9,G333*Calculator!C11,"")</f>
        <v/>
      </c>
      <c r="F334" s="31">
        <f>IF(328&lt;=Calculator!C9,D334-E334,"")</f>
        <v/>
      </c>
      <c r="G334" s="31">
        <f>IF(328&lt;=Calculator!C9,G333-F334,"")</f>
        <v/>
      </c>
    </row>
    <row r="335">
      <c r="B335" s="26">
        <f>IF(329&lt;=Calculator!C9,329,"")</f>
        <v/>
      </c>
      <c r="C335" s="27">
        <f>IF(329&lt;=Calculator!C9,EDATE(Calculator!C10,329-1),"")</f>
        <v/>
      </c>
      <c r="D335" s="28">
        <f>IF(329&lt;=Calculator!C9,Calculator!C14,"")</f>
        <v/>
      </c>
      <c r="E335" s="28">
        <f>IF(329&lt;=Calculator!C9,G334*Calculator!C11,"")</f>
        <v/>
      </c>
      <c r="F335" s="28">
        <f>IF(329&lt;=Calculator!C9,D335-E335,"")</f>
        <v/>
      </c>
      <c r="G335" s="28">
        <f>IF(329&lt;=Calculator!C9,G334-F335,"")</f>
        <v/>
      </c>
    </row>
    <row r="336">
      <c r="B336" s="29">
        <f>IF(330&lt;=Calculator!C9,330,"")</f>
        <v/>
      </c>
      <c r="C336" s="30">
        <f>IF(330&lt;=Calculator!C9,EDATE(Calculator!C10,330-1),"")</f>
        <v/>
      </c>
      <c r="D336" s="31">
        <f>IF(330&lt;=Calculator!C9,Calculator!C14,"")</f>
        <v/>
      </c>
      <c r="E336" s="31">
        <f>IF(330&lt;=Calculator!C9,G335*Calculator!C11,"")</f>
        <v/>
      </c>
      <c r="F336" s="31">
        <f>IF(330&lt;=Calculator!C9,D336-E336,"")</f>
        <v/>
      </c>
      <c r="G336" s="31">
        <f>IF(330&lt;=Calculator!C9,G335-F336,"")</f>
        <v/>
      </c>
    </row>
    <row r="337">
      <c r="B337" s="26">
        <f>IF(331&lt;=Calculator!C9,331,"")</f>
        <v/>
      </c>
      <c r="C337" s="27">
        <f>IF(331&lt;=Calculator!C9,EDATE(Calculator!C10,331-1),"")</f>
        <v/>
      </c>
      <c r="D337" s="28">
        <f>IF(331&lt;=Calculator!C9,Calculator!C14,"")</f>
        <v/>
      </c>
      <c r="E337" s="28">
        <f>IF(331&lt;=Calculator!C9,G336*Calculator!C11,"")</f>
        <v/>
      </c>
      <c r="F337" s="28">
        <f>IF(331&lt;=Calculator!C9,D337-E337,"")</f>
        <v/>
      </c>
      <c r="G337" s="28">
        <f>IF(331&lt;=Calculator!C9,G336-F337,"")</f>
        <v/>
      </c>
    </row>
    <row r="338">
      <c r="B338" s="29">
        <f>IF(332&lt;=Calculator!C9,332,"")</f>
        <v/>
      </c>
      <c r="C338" s="30">
        <f>IF(332&lt;=Calculator!C9,EDATE(Calculator!C10,332-1),"")</f>
        <v/>
      </c>
      <c r="D338" s="31">
        <f>IF(332&lt;=Calculator!C9,Calculator!C14,"")</f>
        <v/>
      </c>
      <c r="E338" s="31">
        <f>IF(332&lt;=Calculator!C9,G337*Calculator!C11,"")</f>
        <v/>
      </c>
      <c r="F338" s="31">
        <f>IF(332&lt;=Calculator!C9,D338-E338,"")</f>
        <v/>
      </c>
      <c r="G338" s="31">
        <f>IF(332&lt;=Calculator!C9,G337-F338,"")</f>
        <v/>
      </c>
    </row>
    <row r="339">
      <c r="B339" s="26">
        <f>IF(333&lt;=Calculator!C9,333,"")</f>
        <v/>
      </c>
      <c r="C339" s="27">
        <f>IF(333&lt;=Calculator!C9,EDATE(Calculator!C10,333-1),"")</f>
        <v/>
      </c>
      <c r="D339" s="28">
        <f>IF(333&lt;=Calculator!C9,Calculator!C14,"")</f>
        <v/>
      </c>
      <c r="E339" s="28">
        <f>IF(333&lt;=Calculator!C9,G338*Calculator!C11,"")</f>
        <v/>
      </c>
      <c r="F339" s="28">
        <f>IF(333&lt;=Calculator!C9,D339-E339,"")</f>
        <v/>
      </c>
      <c r="G339" s="28">
        <f>IF(333&lt;=Calculator!C9,G338-F339,"")</f>
        <v/>
      </c>
    </row>
    <row r="340">
      <c r="B340" s="29">
        <f>IF(334&lt;=Calculator!C9,334,"")</f>
        <v/>
      </c>
      <c r="C340" s="30">
        <f>IF(334&lt;=Calculator!C9,EDATE(Calculator!C10,334-1),"")</f>
        <v/>
      </c>
      <c r="D340" s="31">
        <f>IF(334&lt;=Calculator!C9,Calculator!C14,"")</f>
        <v/>
      </c>
      <c r="E340" s="31">
        <f>IF(334&lt;=Calculator!C9,G339*Calculator!C11,"")</f>
        <v/>
      </c>
      <c r="F340" s="31">
        <f>IF(334&lt;=Calculator!C9,D340-E340,"")</f>
        <v/>
      </c>
      <c r="G340" s="31">
        <f>IF(334&lt;=Calculator!C9,G339-F340,"")</f>
        <v/>
      </c>
    </row>
    <row r="341">
      <c r="B341" s="26">
        <f>IF(335&lt;=Calculator!C9,335,"")</f>
        <v/>
      </c>
      <c r="C341" s="27">
        <f>IF(335&lt;=Calculator!C9,EDATE(Calculator!C10,335-1),"")</f>
        <v/>
      </c>
      <c r="D341" s="28">
        <f>IF(335&lt;=Calculator!C9,Calculator!C14,"")</f>
        <v/>
      </c>
      <c r="E341" s="28">
        <f>IF(335&lt;=Calculator!C9,G340*Calculator!C11,"")</f>
        <v/>
      </c>
      <c r="F341" s="28">
        <f>IF(335&lt;=Calculator!C9,D341-E341,"")</f>
        <v/>
      </c>
      <c r="G341" s="28">
        <f>IF(335&lt;=Calculator!C9,G340-F341,"")</f>
        <v/>
      </c>
    </row>
    <row r="342">
      <c r="B342" s="29">
        <f>IF(336&lt;=Calculator!C9,336,"")</f>
        <v/>
      </c>
      <c r="C342" s="30">
        <f>IF(336&lt;=Calculator!C9,EDATE(Calculator!C10,336-1),"")</f>
        <v/>
      </c>
      <c r="D342" s="31">
        <f>IF(336&lt;=Calculator!C9,Calculator!C14,"")</f>
        <v/>
      </c>
      <c r="E342" s="31">
        <f>IF(336&lt;=Calculator!C9,G341*Calculator!C11,"")</f>
        <v/>
      </c>
      <c r="F342" s="31">
        <f>IF(336&lt;=Calculator!C9,D342-E342,"")</f>
        <v/>
      </c>
      <c r="G342" s="31">
        <f>IF(336&lt;=Calculator!C9,G341-F342,"")</f>
        <v/>
      </c>
    </row>
    <row r="343">
      <c r="B343" s="26">
        <f>IF(337&lt;=Calculator!C9,337,"")</f>
        <v/>
      </c>
      <c r="C343" s="27">
        <f>IF(337&lt;=Calculator!C9,EDATE(Calculator!C10,337-1),"")</f>
        <v/>
      </c>
      <c r="D343" s="28">
        <f>IF(337&lt;=Calculator!C9,Calculator!C14,"")</f>
        <v/>
      </c>
      <c r="E343" s="28">
        <f>IF(337&lt;=Calculator!C9,G342*Calculator!C11,"")</f>
        <v/>
      </c>
      <c r="F343" s="28">
        <f>IF(337&lt;=Calculator!C9,D343-E343,"")</f>
        <v/>
      </c>
      <c r="G343" s="28">
        <f>IF(337&lt;=Calculator!C9,G342-F343,"")</f>
        <v/>
      </c>
    </row>
    <row r="344">
      <c r="B344" s="29">
        <f>IF(338&lt;=Calculator!C9,338,"")</f>
        <v/>
      </c>
      <c r="C344" s="30">
        <f>IF(338&lt;=Calculator!C9,EDATE(Calculator!C10,338-1),"")</f>
        <v/>
      </c>
      <c r="D344" s="31">
        <f>IF(338&lt;=Calculator!C9,Calculator!C14,"")</f>
        <v/>
      </c>
      <c r="E344" s="31">
        <f>IF(338&lt;=Calculator!C9,G343*Calculator!C11,"")</f>
        <v/>
      </c>
      <c r="F344" s="31">
        <f>IF(338&lt;=Calculator!C9,D344-E344,"")</f>
        <v/>
      </c>
      <c r="G344" s="31">
        <f>IF(338&lt;=Calculator!C9,G343-F344,"")</f>
        <v/>
      </c>
    </row>
    <row r="345">
      <c r="B345" s="26">
        <f>IF(339&lt;=Calculator!C9,339,"")</f>
        <v/>
      </c>
      <c r="C345" s="27">
        <f>IF(339&lt;=Calculator!C9,EDATE(Calculator!C10,339-1),"")</f>
        <v/>
      </c>
      <c r="D345" s="28">
        <f>IF(339&lt;=Calculator!C9,Calculator!C14,"")</f>
        <v/>
      </c>
      <c r="E345" s="28">
        <f>IF(339&lt;=Calculator!C9,G344*Calculator!C11,"")</f>
        <v/>
      </c>
      <c r="F345" s="28">
        <f>IF(339&lt;=Calculator!C9,D345-E345,"")</f>
        <v/>
      </c>
      <c r="G345" s="28">
        <f>IF(339&lt;=Calculator!C9,G344-F345,"")</f>
        <v/>
      </c>
    </row>
    <row r="346">
      <c r="B346" s="29">
        <f>IF(340&lt;=Calculator!C9,340,"")</f>
        <v/>
      </c>
      <c r="C346" s="30">
        <f>IF(340&lt;=Calculator!C9,EDATE(Calculator!C10,340-1),"")</f>
        <v/>
      </c>
      <c r="D346" s="31">
        <f>IF(340&lt;=Calculator!C9,Calculator!C14,"")</f>
        <v/>
      </c>
      <c r="E346" s="31">
        <f>IF(340&lt;=Calculator!C9,G345*Calculator!C11,"")</f>
        <v/>
      </c>
      <c r="F346" s="31">
        <f>IF(340&lt;=Calculator!C9,D346-E346,"")</f>
        <v/>
      </c>
      <c r="G346" s="31">
        <f>IF(340&lt;=Calculator!C9,G345-F346,"")</f>
        <v/>
      </c>
    </row>
    <row r="347">
      <c r="B347" s="26">
        <f>IF(341&lt;=Calculator!C9,341,"")</f>
        <v/>
      </c>
      <c r="C347" s="27">
        <f>IF(341&lt;=Calculator!C9,EDATE(Calculator!C10,341-1),"")</f>
        <v/>
      </c>
      <c r="D347" s="28">
        <f>IF(341&lt;=Calculator!C9,Calculator!C14,"")</f>
        <v/>
      </c>
      <c r="E347" s="28">
        <f>IF(341&lt;=Calculator!C9,G346*Calculator!C11,"")</f>
        <v/>
      </c>
      <c r="F347" s="28">
        <f>IF(341&lt;=Calculator!C9,D347-E347,"")</f>
        <v/>
      </c>
      <c r="G347" s="28">
        <f>IF(341&lt;=Calculator!C9,G346-F347,"")</f>
        <v/>
      </c>
    </row>
    <row r="348">
      <c r="B348" s="29">
        <f>IF(342&lt;=Calculator!C9,342,"")</f>
        <v/>
      </c>
      <c r="C348" s="30">
        <f>IF(342&lt;=Calculator!C9,EDATE(Calculator!C10,342-1),"")</f>
        <v/>
      </c>
      <c r="D348" s="31">
        <f>IF(342&lt;=Calculator!C9,Calculator!C14,"")</f>
        <v/>
      </c>
      <c r="E348" s="31">
        <f>IF(342&lt;=Calculator!C9,G347*Calculator!C11,"")</f>
        <v/>
      </c>
      <c r="F348" s="31">
        <f>IF(342&lt;=Calculator!C9,D348-E348,"")</f>
        <v/>
      </c>
      <c r="G348" s="31">
        <f>IF(342&lt;=Calculator!C9,G347-F348,"")</f>
        <v/>
      </c>
    </row>
    <row r="349">
      <c r="B349" s="26">
        <f>IF(343&lt;=Calculator!C9,343,"")</f>
        <v/>
      </c>
      <c r="C349" s="27">
        <f>IF(343&lt;=Calculator!C9,EDATE(Calculator!C10,343-1),"")</f>
        <v/>
      </c>
      <c r="D349" s="28">
        <f>IF(343&lt;=Calculator!C9,Calculator!C14,"")</f>
        <v/>
      </c>
      <c r="E349" s="28">
        <f>IF(343&lt;=Calculator!C9,G348*Calculator!C11,"")</f>
        <v/>
      </c>
      <c r="F349" s="28">
        <f>IF(343&lt;=Calculator!C9,D349-E349,"")</f>
        <v/>
      </c>
      <c r="G349" s="28">
        <f>IF(343&lt;=Calculator!C9,G348-F349,"")</f>
        <v/>
      </c>
    </row>
    <row r="350">
      <c r="B350" s="29">
        <f>IF(344&lt;=Calculator!C9,344,"")</f>
        <v/>
      </c>
      <c r="C350" s="30">
        <f>IF(344&lt;=Calculator!C9,EDATE(Calculator!C10,344-1),"")</f>
        <v/>
      </c>
      <c r="D350" s="31">
        <f>IF(344&lt;=Calculator!C9,Calculator!C14,"")</f>
        <v/>
      </c>
      <c r="E350" s="31">
        <f>IF(344&lt;=Calculator!C9,G349*Calculator!C11,"")</f>
        <v/>
      </c>
      <c r="F350" s="31">
        <f>IF(344&lt;=Calculator!C9,D350-E350,"")</f>
        <v/>
      </c>
      <c r="G350" s="31">
        <f>IF(344&lt;=Calculator!C9,G349-F350,"")</f>
        <v/>
      </c>
    </row>
    <row r="351">
      <c r="B351" s="26">
        <f>IF(345&lt;=Calculator!C9,345,"")</f>
        <v/>
      </c>
      <c r="C351" s="27">
        <f>IF(345&lt;=Calculator!C9,EDATE(Calculator!C10,345-1),"")</f>
        <v/>
      </c>
      <c r="D351" s="28">
        <f>IF(345&lt;=Calculator!C9,Calculator!C14,"")</f>
        <v/>
      </c>
      <c r="E351" s="28">
        <f>IF(345&lt;=Calculator!C9,G350*Calculator!C11,"")</f>
        <v/>
      </c>
      <c r="F351" s="28">
        <f>IF(345&lt;=Calculator!C9,D351-E351,"")</f>
        <v/>
      </c>
      <c r="G351" s="28">
        <f>IF(345&lt;=Calculator!C9,G350-F351,"")</f>
        <v/>
      </c>
    </row>
    <row r="352">
      <c r="B352" s="29">
        <f>IF(346&lt;=Calculator!C9,346,"")</f>
        <v/>
      </c>
      <c r="C352" s="30">
        <f>IF(346&lt;=Calculator!C9,EDATE(Calculator!C10,346-1),"")</f>
        <v/>
      </c>
      <c r="D352" s="31">
        <f>IF(346&lt;=Calculator!C9,Calculator!C14,"")</f>
        <v/>
      </c>
      <c r="E352" s="31">
        <f>IF(346&lt;=Calculator!C9,G351*Calculator!C11,"")</f>
        <v/>
      </c>
      <c r="F352" s="31">
        <f>IF(346&lt;=Calculator!C9,D352-E352,"")</f>
        <v/>
      </c>
      <c r="G352" s="31">
        <f>IF(346&lt;=Calculator!C9,G351-F352,"")</f>
        <v/>
      </c>
    </row>
    <row r="353">
      <c r="B353" s="26">
        <f>IF(347&lt;=Calculator!C9,347,"")</f>
        <v/>
      </c>
      <c r="C353" s="27">
        <f>IF(347&lt;=Calculator!C9,EDATE(Calculator!C10,347-1),"")</f>
        <v/>
      </c>
      <c r="D353" s="28">
        <f>IF(347&lt;=Calculator!C9,Calculator!C14,"")</f>
        <v/>
      </c>
      <c r="E353" s="28">
        <f>IF(347&lt;=Calculator!C9,G352*Calculator!C11,"")</f>
        <v/>
      </c>
      <c r="F353" s="28">
        <f>IF(347&lt;=Calculator!C9,D353-E353,"")</f>
        <v/>
      </c>
      <c r="G353" s="28">
        <f>IF(347&lt;=Calculator!C9,G352-F353,"")</f>
        <v/>
      </c>
    </row>
    <row r="354">
      <c r="B354" s="29">
        <f>IF(348&lt;=Calculator!C9,348,"")</f>
        <v/>
      </c>
      <c r="C354" s="30">
        <f>IF(348&lt;=Calculator!C9,EDATE(Calculator!C10,348-1),"")</f>
        <v/>
      </c>
      <c r="D354" s="31">
        <f>IF(348&lt;=Calculator!C9,Calculator!C14,"")</f>
        <v/>
      </c>
      <c r="E354" s="31">
        <f>IF(348&lt;=Calculator!C9,G353*Calculator!C11,"")</f>
        <v/>
      </c>
      <c r="F354" s="31">
        <f>IF(348&lt;=Calculator!C9,D354-E354,"")</f>
        <v/>
      </c>
      <c r="G354" s="31">
        <f>IF(348&lt;=Calculator!C9,G353-F354,"")</f>
        <v/>
      </c>
    </row>
    <row r="355">
      <c r="B355" s="26">
        <f>IF(349&lt;=Calculator!C9,349,"")</f>
        <v/>
      </c>
      <c r="C355" s="27">
        <f>IF(349&lt;=Calculator!C9,EDATE(Calculator!C10,349-1),"")</f>
        <v/>
      </c>
      <c r="D355" s="28">
        <f>IF(349&lt;=Calculator!C9,Calculator!C14,"")</f>
        <v/>
      </c>
      <c r="E355" s="28">
        <f>IF(349&lt;=Calculator!C9,G354*Calculator!C11,"")</f>
        <v/>
      </c>
      <c r="F355" s="28">
        <f>IF(349&lt;=Calculator!C9,D355-E355,"")</f>
        <v/>
      </c>
      <c r="G355" s="28">
        <f>IF(349&lt;=Calculator!C9,G354-F355,"")</f>
        <v/>
      </c>
    </row>
    <row r="356">
      <c r="B356" s="29">
        <f>IF(350&lt;=Calculator!C9,350,"")</f>
        <v/>
      </c>
      <c r="C356" s="30">
        <f>IF(350&lt;=Calculator!C9,EDATE(Calculator!C10,350-1),"")</f>
        <v/>
      </c>
      <c r="D356" s="31">
        <f>IF(350&lt;=Calculator!C9,Calculator!C14,"")</f>
        <v/>
      </c>
      <c r="E356" s="31">
        <f>IF(350&lt;=Calculator!C9,G355*Calculator!C11,"")</f>
        <v/>
      </c>
      <c r="F356" s="31">
        <f>IF(350&lt;=Calculator!C9,D356-E356,"")</f>
        <v/>
      </c>
      <c r="G356" s="31">
        <f>IF(350&lt;=Calculator!C9,G355-F356,"")</f>
        <v/>
      </c>
    </row>
    <row r="357">
      <c r="B357" s="26">
        <f>IF(351&lt;=Calculator!C9,351,"")</f>
        <v/>
      </c>
      <c r="C357" s="27">
        <f>IF(351&lt;=Calculator!C9,EDATE(Calculator!C10,351-1),"")</f>
        <v/>
      </c>
      <c r="D357" s="28">
        <f>IF(351&lt;=Calculator!C9,Calculator!C14,"")</f>
        <v/>
      </c>
      <c r="E357" s="28">
        <f>IF(351&lt;=Calculator!C9,G356*Calculator!C11,"")</f>
        <v/>
      </c>
      <c r="F357" s="28">
        <f>IF(351&lt;=Calculator!C9,D357-E357,"")</f>
        <v/>
      </c>
      <c r="G357" s="28">
        <f>IF(351&lt;=Calculator!C9,G356-F357,"")</f>
        <v/>
      </c>
    </row>
    <row r="358">
      <c r="B358" s="29">
        <f>IF(352&lt;=Calculator!C9,352,"")</f>
        <v/>
      </c>
      <c r="C358" s="30">
        <f>IF(352&lt;=Calculator!C9,EDATE(Calculator!C10,352-1),"")</f>
        <v/>
      </c>
      <c r="D358" s="31">
        <f>IF(352&lt;=Calculator!C9,Calculator!C14,"")</f>
        <v/>
      </c>
      <c r="E358" s="31">
        <f>IF(352&lt;=Calculator!C9,G357*Calculator!C11,"")</f>
        <v/>
      </c>
      <c r="F358" s="31">
        <f>IF(352&lt;=Calculator!C9,D358-E358,"")</f>
        <v/>
      </c>
      <c r="G358" s="31">
        <f>IF(352&lt;=Calculator!C9,G357-F358,"")</f>
        <v/>
      </c>
    </row>
    <row r="359">
      <c r="B359" s="26">
        <f>IF(353&lt;=Calculator!C9,353,"")</f>
        <v/>
      </c>
      <c r="C359" s="27">
        <f>IF(353&lt;=Calculator!C9,EDATE(Calculator!C10,353-1),"")</f>
        <v/>
      </c>
      <c r="D359" s="28">
        <f>IF(353&lt;=Calculator!C9,Calculator!C14,"")</f>
        <v/>
      </c>
      <c r="E359" s="28">
        <f>IF(353&lt;=Calculator!C9,G358*Calculator!C11,"")</f>
        <v/>
      </c>
      <c r="F359" s="28">
        <f>IF(353&lt;=Calculator!C9,D359-E359,"")</f>
        <v/>
      </c>
      <c r="G359" s="28">
        <f>IF(353&lt;=Calculator!C9,G358-F359,"")</f>
        <v/>
      </c>
    </row>
    <row r="360">
      <c r="B360" s="29">
        <f>IF(354&lt;=Calculator!C9,354,"")</f>
        <v/>
      </c>
      <c r="C360" s="30">
        <f>IF(354&lt;=Calculator!C9,EDATE(Calculator!C10,354-1),"")</f>
        <v/>
      </c>
      <c r="D360" s="31">
        <f>IF(354&lt;=Calculator!C9,Calculator!C14,"")</f>
        <v/>
      </c>
      <c r="E360" s="31">
        <f>IF(354&lt;=Calculator!C9,G359*Calculator!C11,"")</f>
        <v/>
      </c>
      <c r="F360" s="31">
        <f>IF(354&lt;=Calculator!C9,D360-E360,"")</f>
        <v/>
      </c>
      <c r="G360" s="31">
        <f>IF(354&lt;=Calculator!C9,G359-F360,"")</f>
        <v/>
      </c>
    </row>
    <row r="361">
      <c r="B361" s="26">
        <f>IF(355&lt;=Calculator!C9,355,"")</f>
        <v/>
      </c>
      <c r="C361" s="27">
        <f>IF(355&lt;=Calculator!C9,EDATE(Calculator!C10,355-1),"")</f>
        <v/>
      </c>
      <c r="D361" s="28">
        <f>IF(355&lt;=Calculator!C9,Calculator!C14,"")</f>
        <v/>
      </c>
      <c r="E361" s="28">
        <f>IF(355&lt;=Calculator!C9,G360*Calculator!C11,"")</f>
        <v/>
      </c>
      <c r="F361" s="28">
        <f>IF(355&lt;=Calculator!C9,D361-E361,"")</f>
        <v/>
      </c>
      <c r="G361" s="28">
        <f>IF(355&lt;=Calculator!C9,G360-F361,"")</f>
        <v/>
      </c>
    </row>
    <row r="362">
      <c r="B362" s="29">
        <f>IF(356&lt;=Calculator!C9,356,"")</f>
        <v/>
      </c>
      <c r="C362" s="30">
        <f>IF(356&lt;=Calculator!C9,EDATE(Calculator!C10,356-1),"")</f>
        <v/>
      </c>
      <c r="D362" s="31">
        <f>IF(356&lt;=Calculator!C9,Calculator!C14,"")</f>
        <v/>
      </c>
      <c r="E362" s="31">
        <f>IF(356&lt;=Calculator!C9,G361*Calculator!C11,"")</f>
        <v/>
      </c>
      <c r="F362" s="31">
        <f>IF(356&lt;=Calculator!C9,D362-E362,"")</f>
        <v/>
      </c>
      <c r="G362" s="31">
        <f>IF(356&lt;=Calculator!C9,G361-F362,"")</f>
        <v/>
      </c>
    </row>
    <row r="363">
      <c r="B363" s="26">
        <f>IF(357&lt;=Calculator!C9,357,"")</f>
        <v/>
      </c>
      <c r="C363" s="27">
        <f>IF(357&lt;=Calculator!C9,EDATE(Calculator!C10,357-1),"")</f>
        <v/>
      </c>
      <c r="D363" s="28">
        <f>IF(357&lt;=Calculator!C9,Calculator!C14,"")</f>
        <v/>
      </c>
      <c r="E363" s="28">
        <f>IF(357&lt;=Calculator!C9,G362*Calculator!C11,"")</f>
        <v/>
      </c>
      <c r="F363" s="28">
        <f>IF(357&lt;=Calculator!C9,D363-E363,"")</f>
        <v/>
      </c>
      <c r="G363" s="28">
        <f>IF(357&lt;=Calculator!C9,G362-F363,"")</f>
        <v/>
      </c>
    </row>
    <row r="364">
      <c r="B364" s="29">
        <f>IF(358&lt;=Calculator!C9,358,"")</f>
        <v/>
      </c>
      <c r="C364" s="30">
        <f>IF(358&lt;=Calculator!C9,EDATE(Calculator!C10,358-1),"")</f>
        <v/>
      </c>
      <c r="D364" s="31">
        <f>IF(358&lt;=Calculator!C9,Calculator!C14,"")</f>
        <v/>
      </c>
      <c r="E364" s="31">
        <f>IF(358&lt;=Calculator!C9,G363*Calculator!C11,"")</f>
        <v/>
      </c>
      <c r="F364" s="31">
        <f>IF(358&lt;=Calculator!C9,D364-E364,"")</f>
        <v/>
      </c>
      <c r="G364" s="31">
        <f>IF(358&lt;=Calculator!C9,G363-F364,"")</f>
        <v/>
      </c>
    </row>
    <row r="365">
      <c r="B365" s="26">
        <f>IF(359&lt;=Calculator!C9,359,"")</f>
        <v/>
      </c>
      <c r="C365" s="27">
        <f>IF(359&lt;=Calculator!C9,EDATE(Calculator!C10,359-1),"")</f>
        <v/>
      </c>
      <c r="D365" s="28">
        <f>IF(359&lt;=Calculator!C9,Calculator!C14,"")</f>
        <v/>
      </c>
      <c r="E365" s="28">
        <f>IF(359&lt;=Calculator!C9,G364*Calculator!C11,"")</f>
        <v/>
      </c>
      <c r="F365" s="28">
        <f>IF(359&lt;=Calculator!C9,D365-E365,"")</f>
        <v/>
      </c>
      <c r="G365" s="28">
        <f>IF(359&lt;=Calculator!C9,G364-F365,"")</f>
        <v/>
      </c>
    </row>
    <row r="366">
      <c r="B366" s="29">
        <f>IF(360&lt;=Calculator!C9,360,"")</f>
        <v/>
      </c>
      <c r="C366" s="30">
        <f>IF(360&lt;=Calculator!C9,EDATE(Calculator!C10,360-1),"")</f>
        <v/>
      </c>
      <c r="D366" s="31">
        <f>IF(360&lt;=Calculator!C9,Calculator!C14,"")</f>
        <v/>
      </c>
      <c r="E366" s="31">
        <f>IF(360&lt;=Calculator!C9,G365*Calculator!C11,"")</f>
        <v/>
      </c>
      <c r="F366" s="31">
        <f>IF(360&lt;=Calculator!C9,D366-E366,"")</f>
        <v/>
      </c>
      <c r="G366" s="31">
        <f>IF(360&lt;=Calculator!C9,G365-F366,"")</f>
        <v/>
      </c>
    </row>
    <row r="367"/>
    <row r="368"/>
    <row r="369" ht="18" customHeight="1">
      <c r="A369" s="2" t="inlineStr">
        <is>
          <t>CalcGuru  |  Prepared by CA Tirumalesh Malla  |  calcguru.in    —    For indicative estimation only. Verify before filing or transacting.</t>
        </is>
      </c>
    </row>
  </sheetData>
  <sheetProtection selectLockedCells="0" selectUnlockedCells="0" sheet="1" objects="1" insertRows="1" insertHyperlinks="1" autoFilter="0" scenarios="1" formatColumns="1" deleteColumns="1" insertColumns="1" pivotTables="1" deleteRows="1" formatCells="1" formatRows="1" sort="1" password="BBBC"/>
  <mergeCells count="5">
    <mergeCell ref="A4:H4"/>
    <mergeCell ref="A3:H3"/>
    <mergeCell ref="A2:H2"/>
    <mergeCell ref="A1:H1"/>
    <mergeCell ref="A369:H369"/>
  </mergeCells>
  <pageMargins left="0.75" right="0.75" top="1" bottom="1" header="0.511811023622047" footer="0.511811023622047"/>
  <pageSetup orientation="portrait" paperSize="9" horizontalDpi="300" verticalDpi="300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40"/>
  <sheetViews>
    <sheetView zoomScaleNormal="100" workbookViewId="0">
      <selection activeCell="A1" sqref="A1:H1"/>
    </sheetView>
  </sheetViews>
  <sheetFormatPr baseColWidth="8" defaultColWidth="8.7109375" defaultRowHeight="15"/>
  <cols>
    <col width="6" customWidth="1" min="1" max="1"/>
    <col width="12" customWidth="1" min="2" max="2"/>
    <col width="18" customWidth="1" min="3" max="6"/>
    <col width="6" customWidth="1" min="7" max="8"/>
  </cols>
  <sheetData>
    <row r="1" ht="25.5" customHeight="1">
      <c r="A1" s="11" t="inlineStr">
        <is>
          <t>CalcGuru  |  calcguru.in</t>
        </is>
      </c>
    </row>
    <row r="2" ht="24" customHeight="1">
      <c r="A2" s="10" t="inlineStr">
        <is>
          <t>Yearly Summary (up to 30 years)</t>
        </is>
      </c>
    </row>
    <row r="3" ht="18" customHeight="1">
      <c r="A3" s="9" t="inlineStr">
        <is>
          <t>Prepared by CA Tirumalesh Malla  |  https://calcguru.in</t>
        </is>
      </c>
    </row>
    <row r="4" ht="15.75" customHeight="1">
      <c r="A4" s="8" t="inlineStr">
        <is>
          <t>Sum of EMI, Interest and Principal paid per year.</t>
        </is>
      </c>
    </row>
    <row r="5"/>
    <row r="6" ht="21.75" customHeight="1">
      <c r="B6" s="25" t="inlineStr">
        <is>
          <t>Year</t>
        </is>
      </c>
      <c r="C6" s="25" t="inlineStr">
        <is>
          <t>Total EMI (₹)</t>
        </is>
      </c>
      <c r="D6" s="25" t="inlineStr">
        <is>
          <t>Interest Paid (₹)</t>
        </is>
      </c>
      <c r="E6" s="25" t="inlineStr">
        <is>
          <t>Principal Paid (₹)</t>
        </is>
      </c>
      <c r="F6" s="25" t="inlineStr">
        <is>
          <t>Closing Balance (₹)</t>
        </is>
      </c>
    </row>
    <row r="7">
      <c r="B7" s="32">
        <f>IF(1&lt;=Calculator!C9,1,"")</f>
        <v/>
      </c>
      <c r="C7" s="33">
        <f>IF(1&lt;=Calculator!C9,SUMIF('Amortisation Schedule'!B7:B18,"&gt;0",'Amortisation Schedule'!D7:D18),"")</f>
        <v/>
      </c>
      <c r="D7" s="33">
        <f>IF(1&lt;=Calculator!C9,SUMIF('Amortisation Schedule'!B7:B18,"&gt;0",'Amortisation Schedule'!E7:E18),"")</f>
        <v/>
      </c>
      <c r="E7" s="33">
        <f>IF(1&lt;=Calculator!C9,SUMIF('Amortisation Schedule'!B7:B18,"&gt;0",'Amortisation Schedule'!F7:F18),"")</f>
        <v/>
      </c>
      <c r="F7" s="33">
        <f>IFERROR(IF(INDEX('Amortisation Schedule'!G7:G18,MATCH(1E+300,'Amortisation Schedule'!G7:G18))&lt;0.01,0,INDEX('Amortisation Schedule'!G7:G18,MATCH(1E+300,'Amortisation Schedule'!G7:G18))),"")</f>
        <v/>
      </c>
    </row>
    <row r="8">
      <c r="B8" s="34">
        <f>IF(13&lt;=Calculator!C9,2,"")</f>
        <v/>
      </c>
      <c r="C8" s="35">
        <f>IF(13&lt;=Calculator!C9,SUMIF('Amortisation Schedule'!B19:B30,"&gt;0",'Amortisation Schedule'!D19:D30),"")</f>
        <v/>
      </c>
      <c r="D8" s="35">
        <f>IF(13&lt;=Calculator!C9,SUMIF('Amortisation Schedule'!B19:B30,"&gt;0",'Amortisation Schedule'!E19:E30),"")</f>
        <v/>
      </c>
      <c r="E8" s="35">
        <f>IF(13&lt;=Calculator!C9,SUMIF('Amortisation Schedule'!B19:B30,"&gt;0",'Amortisation Schedule'!F19:F30),"")</f>
        <v/>
      </c>
      <c r="F8" s="35">
        <f>IFERROR(IF(INDEX('Amortisation Schedule'!G19:G30,MATCH(1E+300,'Amortisation Schedule'!G19:G30))&lt;0.01,0,INDEX('Amortisation Schedule'!G19:G30,MATCH(1E+300,'Amortisation Schedule'!G19:G30))),"")</f>
        <v/>
      </c>
    </row>
    <row r="9">
      <c r="B9" s="32">
        <f>IF(25&lt;=Calculator!C9,3,"")</f>
        <v/>
      </c>
      <c r="C9" s="33">
        <f>IF(25&lt;=Calculator!C9,SUMIF('Amortisation Schedule'!B31:B42,"&gt;0",'Amortisation Schedule'!D31:D42),"")</f>
        <v/>
      </c>
      <c r="D9" s="33">
        <f>IF(25&lt;=Calculator!C9,SUMIF('Amortisation Schedule'!B31:B42,"&gt;0",'Amortisation Schedule'!E31:E42),"")</f>
        <v/>
      </c>
      <c r="E9" s="33">
        <f>IF(25&lt;=Calculator!C9,SUMIF('Amortisation Schedule'!B31:B42,"&gt;0",'Amortisation Schedule'!F31:F42),"")</f>
        <v/>
      </c>
      <c r="F9" s="33">
        <f>IFERROR(IF(INDEX('Amortisation Schedule'!G31:G42,MATCH(1E+300,'Amortisation Schedule'!G31:G42))&lt;0.01,0,INDEX('Amortisation Schedule'!G31:G42,MATCH(1E+300,'Amortisation Schedule'!G31:G42))),"")</f>
        <v/>
      </c>
    </row>
    <row r="10">
      <c r="B10" s="34">
        <f>IF(37&lt;=Calculator!C9,4,"")</f>
        <v/>
      </c>
      <c r="C10" s="35">
        <f>IF(37&lt;=Calculator!C9,SUMIF('Amortisation Schedule'!B43:B54,"&gt;0",'Amortisation Schedule'!D43:D54),"")</f>
        <v/>
      </c>
      <c r="D10" s="35">
        <f>IF(37&lt;=Calculator!C9,SUMIF('Amortisation Schedule'!B43:B54,"&gt;0",'Amortisation Schedule'!E43:E54),"")</f>
        <v/>
      </c>
      <c r="E10" s="35">
        <f>IF(37&lt;=Calculator!C9,SUMIF('Amortisation Schedule'!B43:B54,"&gt;0",'Amortisation Schedule'!F43:F54),"")</f>
        <v/>
      </c>
      <c r="F10" s="35">
        <f>IFERROR(IF(INDEX('Amortisation Schedule'!G43:G54,MATCH(1E+300,'Amortisation Schedule'!G43:G54))&lt;0.01,0,INDEX('Amortisation Schedule'!G43:G54,MATCH(1E+300,'Amortisation Schedule'!G43:G54))),"")</f>
        <v/>
      </c>
    </row>
    <row r="11">
      <c r="B11" s="32">
        <f>IF(49&lt;=Calculator!C9,5,"")</f>
        <v/>
      </c>
      <c r="C11" s="33">
        <f>IF(49&lt;=Calculator!C9,SUMIF('Amortisation Schedule'!B55:B66,"&gt;0",'Amortisation Schedule'!D55:D66),"")</f>
        <v/>
      </c>
      <c r="D11" s="33">
        <f>IF(49&lt;=Calculator!C9,SUMIF('Amortisation Schedule'!B55:B66,"&gt;0",'Amortisation Schedule'!E55:E66),"")</f>
        <v/>
      </c>
      <c r="E11" s="33">
        <f>IF(49&lt;=Calculator!C9,SUMIF('Amortisation Schedule'!B55:B66,"&gt;0",'Amortisation Schedule'!F55:F66),"")</f>
        <v/>
      </c>
      <c r="F11" s="33">
        <f>IFERROR(IF(INDEX('Amortisation Schedule'!G55:G66,MATCH(1E+300,'Amortisation Schedule'!G55:G66))&lt;0.01,0,INDEX('Amortisation Schedule'!G55:G66,MATCH(1E+300,'Amortisation Schedule'!G55:G66))),"")</f>
        <v/>
      </c>
    </row>
    <row r="12">
      <c r="B12" s="34">
        <f>IF(61&lt;=Calculator!C9,6,"")</f>
        <v/>
      </c>
      <c r="C12" s="35">
        <f>IF(61&lt;=Calculator!C9,SUMIF('Amortisation Schedule'!B67:B78,"&gt;0",'Amortisation Schedule'!D67:D78),"")</f>
        <v/>
      </c>
      <c r="D12" s="35">
        <f>IF(61&lt;=Calculator!C9,SUMIF('Amortisation Schedule'!B67:B78,"&gt;0",'Amortisation Schedule'!E67:E78),"")</f>
        <v/>
      </c>
      <c r="E12" s="35">
        <f>IF(61&lt;=Calculator!C9,SUMIF('Amortisation Schedule'!B67:B78,"&gt;0",'Amortisation Schedule'!F67:F78),"")</f>
        <v/>
      </c>
      <c r="F12" s="35">
        <f>IFERROR(IF(INDEX('Amortisation Schedule'!G67:G78,MATCH(1E+300,'Amortisation Schedule'!G67:G78))&lt;0.01,0,INDEX('Amortisation Schedule'!G67:G78,MATCH(1E+300,'Amortisation Schedule'!G67:G78))),"")</f>
        <v/>
      </c>
    </row>
    <row r="13">
      <c r="B13" s="32">
        <f>IF(73&lt;=Calculator!C9,7,"")</f>
        <v/>
      </c>
      <c r="C13" s="33">
        <f>IF(73&lt;=Calculator!C9,SUMIF('Amortisation Schedule'!B79:B90,"&gt;0",'Amortisation Schedule'!D79:D90),"")</f>
        <v/>
      </c>
      <c r="D13" s="33">
        <f>IF(73&lt;=Calculator!C9,SUMIF('Amortisation Schedule'!B79:B90,"&gt;0",'Amortisation Schedule'!E79:E90),"")</f>
        <v/>
      </c>
      <c r="E13" s="33">
        <f>IF(73&lt;=Calculator!C9,SUMIF('Amortisation Schedule'!B79:B90,"&gt;0",'Amortisation Schedule'!F79:F90),"")</f>
        <v/>
      </c>
      <c r="F13" s="33">
        <f>IFERROR(IF(INDEX('Amortisation Schedule'!G79:G90,MATCH(1E+300,'Amortisation Schedule'!G79:G90))&lt;0.01,0,INDEX('Amortisation Schedule'!G79:G90,MATCH(1E+300,'Amortisation Schedule'!G79:G90))),"")</f>
        <v/>
      </c>
    </row>
    <row r="14">
      <c r="B14" s="34">
        <f>IF(85&lt;=Calculator!C9,8,"")</f>
        <v/>
      </c>
      <c r="C14" s="35">
        <f>IF(85&lt;=Calculator!C9,SUMIF('Amortisation Schedule'!B91:B102,"&gt;0",'Amortisation Schedule'!D91:D102),"")</f>
        <v/>
      </c>
      <c r="D14" s="35">
        <f>IF(85&lt;=Calculator!C9,SUMIF('Amortisation Schedule'!B91:B102,"&gt;0",'Amortisation Schedule'!E91:E102),"")</f>
        <v/>
      </c>
      <c r="E14" s="35">
        <f>IF(85&lt;=Calculator!C9,SUMIF('Amortisation Schedule'!B91:B102,"&gt;0",'Amortisation Schedule'!F91:F102),"")</f>
        <v/>
      </c>
      <c r="F14" s="35">
        <f>IFERROR(IF(INDEX('Amortisation Schedule'!G91:G102,MATCH(1E+300,'Amortisation Schedule'!G91:G102))&lt;0.01,0,INDEX('Amortisation Schedule'!G91:G102,MATCH(1E+300,'Amortisation Schedule'!G91:G102))),"")</f>
        <v/>
      </c>
    </row>
    <row r="15">
      <c r="B15" s="32">
        <f>IF(97&lt;=Calculator!C9,9,"")</f>
        <v/>
      </c>
      <c r="C15" s="33">
        <f>IF(97&lt;=Calculator!C9,SUMIF('Amortisation Schedule'!B103:B114,"&gt;0",'Amortisation Schedule'!D103:D114),"")</f>
        <v/>
      </c>
      <c r="D15" s="33">
        <f>IF(97&lt;=Calculator!C9,SUMIF('Amortisation Schedule'!B103:B114,"&gt;0",'Amortisation Schedule'!E103:E114),"")</f>
        <v/>
      </c>
      <c r="E15" s="33">
        <f>IF(97&lt;=Calculator!C9,SUMIF('Amortisation Schedule'!B103:B114,"&gt;0",'Amortisation Schedule'!F103:F114),"")</f>
        <v/>
      </c>
      <c r="F15" s="33">
        <f>IFERROR(IF(INDEX('Amortisation Schedule'!G103:G114,MATCH(1E+300,'Amortisation Schedule'!G103:G114))&lt;0.01,0,INDEX('Amortisation Schedule'!G103:G114,MATCH(1E+300,'Amortisation Schedule'!G103:G114))),"")</f>
        <v/>
      </c>
    </row>
    <row r="16">
      <c r="B16" s="34">
        <f>IF(109&lt;=Calculator!C9,10,"")</f>
        <v/>
      </c>
      <c r="C16" s="35">
        <f>IF(109&lt;=Calculator!C9,SUMIF('Amortisation Schedule'!B115:B126,"&gt;0",'Amortisation Schedule'!D115:D126),"")</f>
        <v/>
      </c>
      <c r="D16" s="35">
        <f>IF(109&lt;=Calculator!C9,SUMIF('Amortisation Schedule'!B115:B126,"&gt;0",'Amortisation Schedule'!E115:E126),"")</f>
        <v/>
      </c>
      <c r="E16" s="35">
        <f>IF(109&lt;=Calculator!C9,SUMIF('Amortisation Schedule'!B115:B126,"&gt;0",'Amortisation Schedule'!F115:F126),"")</f>
        <v/>
      </c>
      <c r="F16" s="35">
        <f>IFERROR(IF(INDEX('Amortisation Schedule'!G115:G126,MATCH(1E+300,'Amortisation Schedule'!G115:G126))&lt;0.01,0,INDEX('Amortisation Schedule'!G115:G126,MATCH(1E+300,'Amortisation Schedule'!G115:G126))),"")</f>
        <v/>
      </c>
    </row>
    <row r="17">
      <c r="B17" s="32">
        <f>IF(121&lt;=Calculator!C9,11,"")</f>
        <v/>
      </c>
      <c r="C17" s="33">
        <f>IF(121&lt;=Calculator!C9,SUMIF('Amortisation Schedule'!B127:B138,"&gt;0",'Amortisation Schedule'!D127:D138),"")</f>
        <v/>
      </c>
      <c r="D17" s="33">
        <f>IF(121&lt;=Calculator!C9,SUMIF('Amortisation Schedule'!B127:B138,"&gt;0",'Amortisation Schedule'!E127:E138),"")</f>
        <v/>
      </c>
      <c r="E17" s="33">
        <f>IF(121&lt;=Calculator!C9,SUMIF('Amortisation Schedule'!B127:B138,"&gt;0",'Amortisation Schedule'!F127:F138),"")</f>
        <v/>
      </c>
      <c r="F17" s="33">
        <f>IFERROR(IF(INDEX('Amortisation Schedule'!G127:G138,MATCH(1E+300,'Amortisation Schedule'!G127:G138))&lt;0.01,0,INDEX('Amortisation Schedule'!G127:G138,MATCH(1E+300,'Amortisation Schedule'!G127:G138))),"")</f>
        <v/>
      </c>
    </row>
    <row r="18">
      <c r="B18" s="34">
        <f>IF(133&lt;=Calculator!C9,12,"")</f>
        <v/>
      </c>
      <c r="C18" s="35">
        <f>IF(133&lt;=Calculator!C9,SUMIF('Amortisation Schedule'!B139:B150,"&gt;0",'Amortisation Schedule'!D139:D150),"")</f>
        <v/>
      </c>
      <c r="D18" s="35">
        <f>IF(133&lt;=Calculator!C9,SUMIF('Amortisation Schedule'!B139:B150,"&gt;0",'Amortisation Schedule'!E139:E150),"")</f>
        <v/>
      </c>
      <c r="E18" s="35">
        <f>IF(133&lt;=Calculator!C9,SUMIF('Amortisation Schedule'!B139:B150,"&gt;0",'Amortisation Schedule'!F139:F150),"")</f>
        <v/>
      </c>
      <c r="F18" s="35">
        <f>IFERROR(IF(INDEX('Amortisation Schedule'!G139:G150,MATCH(1E+300,'Amortisation Schedule'!G139:G150))&lt;0.01,0,INDEX('Amortisation Schedule'!G139:G150,MATCH(1E+300,'Amortisation Schedule'!G139:G150))),"")</f>
        <v/>
      </c>
    </row>
    <row r="19">
      <c r="B19" s="32">
        <f>IF(145&lt;=Calculator!C9,13,"")</f>
        <v/>
      </c>
      <c r="C19" s="33">
        <f>IF(145&lt;=Calculator!C9,SUMIF('Amortisation Schedule'!B151:B162,"&gt;0",'Amortisation Schedule'!D151:D162),"")</f>
        <v/>
      </c>
      <c r="D19" s="33">
        <f>IF(145&lt;=Calculator!C9,SUMIF('Amortisation Schedule'!B151:B162,"&gt;0",'Amortisation Schedule'!E151:E162),"")</f>
        <v/>
      </c>
      <c r="E19" s="33">
        <f>IF(145&lt;=Calculator!C9,SUMIF('Amortisation Schedule'!B151:B162,"&gt;0",'Amortisation Schedule'!F151:F162),"")</f>
        <v/>
      </c>
      <c r="F19" s="33">
        <f>IFERROR(IF(INDEX('Amortisation Schedule'!G151:G162,MATCH(1E+300,'Amortisation Schedule'!G151:G162))&lt;0.01,0,INDEX('Amortisation Schedule'!G151:G162,MATCH(1E+300,'Amortisation Schedule'!G151:G162))),"")</f>
        <v/>
      </c>
    </row>
    <row r="20">
      <c r="B20" s="34">
        <f>IF(157&lt;=Calculator!C9,14,"")</f>
        <v/>
      </c>
      <c r="C20" s="35">
        <f>IF(157&lt;=Calculator!C9,SUMIF('Amortisation Schedule'!B163:B174,"&gt;0",'Amortisation Schedule'!D163:D174),"")</f>
        <v/>
      </c>
      <c r="D20" s="35">
        <f>IF(157&lt;=Calculator!C9,SUMIF('Amortisation Schedule'!B163:B174,"&gt;0",'Amortisation Schedule'!E163:E174),"")</f>
        <v/>
      </c>
      <c r="E20" s="35">
        <f>IF(157&lt;=Calculator!C9,SUMIF('Amortisation Schedule'!B163:B174,"&gt;0",'Amortisation Schedule'!F163:F174),"")</f>
        <v/>
      </c>
      <c r="F20" s="35">
        <f>IFERROR(IF(INDEX('Amortisation Schedule'!G163:G174,MATCH(1E+300,'Amortisation Schedule'!G163:G174))&lt;0.01,0,INDEX('Amortisation Schedule'!G163:G174,MATCH(1E+300,'Amortisation Schedule'!G163:G174))),"")</f>
        <v/>
      </c>
    </row>
    <row r="21">
      <c r="B21" s="32">
        <f>IF(169&lt;=Calculator!C9,15,"")</f>
        <v/>
      </c>
      <c r="C21" s="33">
        <f>IF(169&lt;=Calculator!C9,SUMIF('Amortisation Schedule'!B175:B186,"&gt;0",'Amortisation Schedule'!D175:D186),"")</f>
        <v/>
      </c>
      <c r="D21" s="33">
        <f>IF(169&lt;=Calculator!C9,SUMIF('Amortisation Schedule'!B175:B186,"&gt;0",'Amortisation Schedule'!E175:E186),"")</f>
        <v/>
      </c>
      <c r="E21" s="33">
        <f>IF(169&lt;=Calculator!C9,SUMIF('Amortisation Schedule'!B175:B186,"&gt;0",'Amortisation Schedule'!F175:F186),"")</f>
        <v/>
      </c>
      <c r="F21" s="33">
        <f>IFERROR(IF(INDEX('Amortisation Schedule'!G175:G186,MATCH(1E+300,'Amortisation Schedule'!G175:G186))&lt;0.01,0,INDEX('Amortisation Schedule'!G175:G186,MATCH(1E+300,'Amortisation Schedule'!G175:G186))),"")</f>
        <v/>
      </c>
    </row>
    <row r="22">
      <c r="B22" s="34">
        <f>IF(181&lt;=Calculator!C9,16,"")</f>
        <v/>
      </c>
      <c r="C22" s="35">
        <f>IF(181&lt;=Calculator!C9,SUMIF('Amortisation Schedule'!B187:B198,"&gt;0",'Amortisation Schedule'!D187:D198),"")</f>
        <v/>
      </c>
      <c r="D22" s="35">
        <f>IF(181&lt;=Calculator!C9,SUMIF('Amortisation Schedule'!B187:B198,"&gt;0",'Amortisation Schedule'!E187:E198),"")</f>
        <v/>
      </c>
      <c r="E22" s="35">
        <f>IF(181&lt;=Calculator!C9,SUMIF('Amortisation Schedule'!B187:B198,"&gt;0",'Amortisation Schedule'!F187:F198),"")</f>
        <v/>
      </c>
      <c r="F22" s="35">
        <f>IFERROR(IF(INDEX('Amortisation Schedule'!G187:G198,MATCH(1E+300,'Amortisation Schedule'!G187:G198))&lt;0.01,0,INDEX('Amortisation Schedule'!G187:G198,MATCH(1E+300,'Amortisation Schedule'!G187:G198))),"")</f>
        <v/>
      </c>
    </row>
    <row r="23">
      <c r="B23" s="32">
        <f>IF(193&lt;=Calculator!C9,17,"")</f>
        <v/>
      </c>
      <c r="C23" s="33">
        <f>IF(193&lt;=Calculator!C9,SUMIF('Amortisation Schedule'!B199:B210,"&gt;0",'Amortisation Schedule'!D199:D210),"")</f>
        <v/>
      </c>
      <c r="D23" s="33">
        <f>IF(193&lt;=Calculator!C9,SUMIF('Amortisation Schedule'!B199:B210,"&gt;0",'Amortisation Schedule'!E199:E210),"")</f>
        <v/>
      </c>
      <c r="E23" s="33">
        <f>IF(193&lt;=Calculator!C9,SUMIF('Amortisation Schedule'!B199:B210,"&gt;0",'Amortisation Schedule'!F199:F210),"")</f>
        <v/>
      </c>
      <c r="F23" s="33">
        <f>IFERROR(IF(INDEX('Amortisation Schedule'!G199:G210,MATCH(1E+300,'Amortisation Schedule'!G199:G210))&lt;0.01,0,INDEX('Amortisation Schedule'!G199:G210,MATCH(1E+300,'Amortisation Schedule'!G199:G210))),"")</f>
        <v/>
      </c>
    </row>
    <row r="24">
      <c r="B24" s="34">
        <f>IF(205&lt;=Calculator!C9,18,"")</f>
        <v/>
      </c>
      <c r="C24" s="35">
        <f>IF(205&lt;=Calculator!C9,SUMIF('Amortisation Schedule'!B211:B222,"&gt;0",'Amortisation Schedule'!D211:D222),"")</f>
        <v/>
      </c>
      <c r="D24" s="35">
        <f>IF(205&lt;=Calculator!C9,SUMIF('Amortisation Schedule'!B211:B222,"&gt;0",'Amortisation Schedule'!E211:E222),"")</f>
        <v/>
      </c>
      <c r="E24" s="35">
        <f>IF(205&lt;=Calculator!C9,SUMIF('Amortisation Schedule'!B211:B222,"&gt;0",'Amortisation Schedule'!F211:F222),"")</f>
        <v/>
      </c>
      <c r="F24" s="35">
        <f>IFERROR(IF(INDEX('Amortisation Schedule'!G211:G222,MATCH(1E+300,'Amortisation Schedule'!G211:G222))&lt;0.01,0,INDEX('Amortisation Schedule'!G211:G222,MATCH(1E+300,'Amortisation Schedule'!G211:G222))),"")</f>
        <v/>
      </c>
    </row>
    <row r="25">
      <c r="B25" s="32">
        <f>IF(217&lt;=Calculator!C9,19,"")</f>
        <v/>
      </c>
      <c r="C25" s="33">
        <f>IF(217&lt;=Calculator!C9,SUMIF('Amortisation Schedule'!B223:B234,"&gt;0",'Amortisation Schedule'!D223:D234),"")</f>
        <v/>
      </c>
      <c r="D25" s="33">
        <f>IF(217&lt;=Calculator!C9,SUMIF('Amortisation Schedule'!B223:B234,"&gt;0",'Amortisation Schedule'!E223:E234),"")</f>
        <v/>
      </c>
      <c r="E25" s="33">
        <f>IF(217&lt;=Calculator!C9,SUMIF('Amortisation Schedule'!B223:B234,"&gt;0",'Amortisation Schedule'!F223:F234),"")</f>
        <v/>
      </c>
      <c r="F25" s="33">
        <f>IFERROR(IF(INDEX('Amortisation Schedule'!G223:G234,MATCH(1E+300,'Amortisation Schedule'!G223:G234))&lt;0.01,0,INDEX('Amortisation Schedule'!G223:G234,MATCH(1E+300,'Amortisation Schedule'!G223:G234))),"")</f>
        <v/>
      </c>
    </row>
    <row r="26">
      <c r="B26" s="34">
        <f>IF(229&lt;=Calculator!C9,20,"")</f>
        <v/>
      </c>
      <c r="C26" s="35">
        <f>IF(229&lt;=Calculator!C9,SUMIF('Amortisation Schedule'!B235:B246,"&gt;0",'Amortisation Schedule'!D235:D246),"")</f>
        <v/>
      </c>
      <c r="D26" s="35">
        <f>IF(229&lt;=Calculator!C9,SUMIF('Amortisation Schedule'!B235:B246,"&gt;0",'Amortisation Schedule'!E235:E246),"")</f>
        <v/>
      </c>
      <c r="E26" s="35">
        <f>IF(229&lt;=Calculator!C9,SUMIF('Amortisation Schedule'!B235:B246,"&gt;0",'Amortisation Schedule'!F235:F246),"")</f>
        <v/>
      </c>
      <c r="F26" s="35">
        <f>IFERROR(IF(INDEX('Amortisation Schedule'!G235:G246,MATCH(1E+300,'Amortisation Schedule'!G235:G246))&lt;0.01,0,INDEX('Amortisation Schedule'!G235:G246,MATCH(1E+300,'Amortisation Schedule'!G235:G246))),"")</f>
        <v/>
      </c>
    </row>
    <row r="27">
      <c r="B27" s="32">
        <f>IF(241&lt;=Calculator!C9,21,"")</f>
        <v/>
      </c>
      <c r="C27" s="33">
        <f>IF(241&lt;=Calculator!C9,SUMIF('Amortisation Schedule'!B247:B258,"&gt;0",'Amortisation Schedule'!D247:D258),"")</f>
        <v/>
      </c>
      <c r="D27" s="33">
        <f>IF(241&lt;=Calculator!C9,SUMIF('Amortisation Schedule'!B247:B258,"&gt;0",'Amortisation Schedule'!E247:E258),"")</f>
        <v/>
      </c>
      <c r="E27" s="33">
        <f>IF(241&lt;=Calculator!C9,SUMIF('Amortisation Schedule'!B247:B258,"&gt;0",'Amortisation Schedule'!F247:F258),"")</f>
        <v/>
      </c>
      <c r="F27" s="33">
        <f>IFERROR(IF(INDEX('Amortisation Schedule'!G247:G258,MATCH(1E+300,'Amortisation Schedule'!G247:G258))&lt;0.01,0,INDEX('Amortisation Schedule'!G247:G258,MATCH(1E+300,'Amortisation Schedule'!G247:G258))),"")</f>
        <v/>
      </c>
    </row>
    <row r="28">
      <c r="B28" s="34">
        <f>IF(253&lt;=Calculator!C9,22,"")</f>
        <v/>
      </c>
      <c r="C28" s="35">
        <f>IF(253&lt;=Calculator!C9,SUMIF('Amortisation Schedule'!B259:B270,"&gt;0",'Amortisation Schedule'!D259:D270),"")</f>
        <v/>
      </c>
      <c r="D28" s="35">
        <f>IF(253&lt;=Calculator!C9,SUMIF('Amortisation Schedule'!B259:B270,"&gt;0",'Amortisation Schedule'!E259:E270),"")</f>
        <v/>
      </c>
      <c r="E28" s="35">
        <f>IF(253&lt;=Calculator!C9,SUMIF('Amortisation Schedule'!B259:B270,"&gt;0",'Amortisation Schedule'!F259:F270),"")</f>
        <v/>
      </c>
      <c r="F28" s="35">
        <f>IFERROR(IF(INDEX('Amortisation Schedule'!G259:G270,MATCH(1E+300,'Amortisation Schedule'!G259:G270))&lt;0.01,0,INDEX('Amortisation Schedule'!G259:G270,MATCH(1E+300,'Amortisation Schedule'!G259:G270))),"")</f>
        <v/>
      </c>
    </row>
    <row r="29">
      <c r="B29" s="32">
        <f>IF(265&lt;=Calculator!C9,23,"")</f>
        <v/>
      </c>
      <c r="C29" s="33">
        <f>IF(265&lt;=Calculator!C9,SUMIF('Amortisation Schedule'!B271:B282,"&gt;0",'Amortisation Schedule'!D271:D282),"")</f>
        <v/>
      </c>
      <c r="D29" s="33">
        <f>IF(265&lt;=Calculator!C9,SUMIF('Amortisation Schedule'!B271:B282,"&gt;0",'Amortisation Schedule'!E271:E282),"")</f>
        <v/>
      </c>
      <c r="E29" s="33">
        <f>IF(265&lt;=Calculator!C9,SUMIF('Amortisation Schedule'!B271:B282,"&gt;0",'Amortisation Schedule'!F271:F282),"")</f>
        <v/>
      </c>
      <c r="F29" s="33">
        <f>IFERROR(IF(INDEX('Amortisation Schedule'!G271:G282,MATCH(1E+300,'Amortisation Schedule'!G271:G282))&lt;0.01,0,INDEX('Amortisation Schedule'!G271:G282,MATCH(1E+300,'Amortisation Schedule'!G271:G282))),"")</f>
        <v/>
      </c>
    </row>
    <row r="30">
      <c r="B30" s="34">
        <f>IF(277&lt;=Calculator!C9,24,"")</f>
        <v/>
      </c>
      <c r="C30" s="35">
        <f>IF(277&lt;=Calculator!C9,SUMIF('Amortisation Schedule'!B283:B294,"&gt;0",'Amortisation Schedule'!D283:D294),"")</f>
        <v/>
      </c>
      <c r="D30" s="35">
        <f>IF(277&lt;=Calculator!C9,SUMIF('Amortisation Schedule'!B283:B294,"&gt;0",'Amortisation Schedule'!E283:E294),"")</f>
        <v/>
      </c>
      <c r="E30" s="35">
        <f>IF(277&lt;=Calculator!C9,SUMIF('Amortisation Schedule'!B283:B294,"&gt;0",'Amortisation Schedule'!F283:F294),"")</f>
        <v/>
      </c>
      <c r="F30" s="35">
        <f>IFERROR(IF(INDEX('Amortisation Schedule'!G283:G294,MATCH(1E+300,'Amortisation Schedule'!G283:G294))&lt;0.01,0,INDEX('Amortisation Schedule'!G283:G294,MATCH(1E+300,'Amortisation Schedule'!G283:G294))),"")</f>
        <v/>
      </c>
    </row>
    <row r="31">
      <c r="B31" s="32">
        <f>IF(289&lt;=Calculator!C9,25,"")</f>
        <v/>
      </c>
      <c r="C31" s="33">
        <f>IF(289&lt;=Calculator!C9,SUMIF('Amortisation Schedule'!B295:B306,"&gt;0",'Amortisation Schedule'!D295:D306),"")</f>
        <v/>
      </c>
      <c r="D31" s="33">
        <f>IF(289&lt;=Calculator!C9,SUMIF('Amortisation Schedule'!B295:B306,"&gt;0",'Amortisation Schedule'!E295:E306),"")</f>
        <v/>
      </c>
      <c r="E31" s="33">
        <f>IF(289&lt;=Calculator!C9,SUMIF('Amortisation Schedule'!B295:B306,"&gt;0",'Amortisation Schedule'!F295:F306),"")</f>
        <v/>
      </c>
      <c r="F31" s="33">
        <f>IFERROR(IF(INDEX('Amortisation Schedule'!G295:G306,MATCH(1E+300,'Amortisation Schedule'!G295:G306))&lt;0.01,0,INDEX('Amortisation Schedule'!G295:G306,MATCH(1E+300,'Amortisation Schedule'!G295:G306))),"")</f>
        <v/>
      </c>
    </row>
    <row r="32">
      <c r="B32" s="34">
        <f>IF(301&lt;=Calculator!C9,26,"")</f>
        <v/>
      </c>
      <c r="C32" s="35">
        <f>IF(301&lt;=Calculator!C9,SUMIF('Amortisation Schedule'!B307:B318,"&gt;0",'Amortisation Schedule'!D307:D318),"")</f>
        <v/>
      </c>
      <c r="D32" s="35">
        <f>IF(301&lt;=Calculator!C9,SUMIF('Amortisation Schedule'!B307:B318,"&gt;0",'Amortisation Schedule'!E307:E318),"")</f>
        <v/>
      </c>
      <c r="E32" s="35">
        <f>IF(301&lt;=Calculator!C9,SUMIF('Amortisation Schedule'!B307:B318,"&gt;0",'Amortisation Schedule'!F307:F318),"")</f>
        <v/>
      </c>
      <c r="F32" s="35">
        <f>IFERROR(IF(INDEX('Amortisation Schedule'!G307:G318,MATCH(1E+300,'Amortisation Schedule'!G307:G318))&lt;0.01,0,INDEX('Amortisation Schedule'!G307:G318,MATCH(1E+300,'Amortisation Schedule'!G307:G318))),"")</f>
        <v/>
      </c>
    </row>
    <row r="33">
      <c r="B33" s="32">
        <f>IF(313&lt;=Calculator!C9,27,"")</f>
        <v/>
      </c>
      <c r="C33" s="33">
        <f>IF(313&lt;=Calculator!C9,SUMIF('Amortisation Schedule'!B319:B330,"&gt;0",'Amortisation Schedule'!D319:D330),"")</f>
        <v/>
      </c>
      <c r="D33" s="33">
        <f>IF(313&lt;=Calculator!C9,SUMIF('Amortisation Schedule'!B319:B330,"&gt;0",'Amortisation Schedule'!E319:E330),"")</f>
        <v/>
      </c>
      <c r="E33" s="33">
        <f>IF(313&lt;=Calculator!C9,SUMIF('Amortisation Schedule'!B319:B330,"&gt;0",'Amortisation Schedule'!F319:F330),"")</f>
        <v/>
      </c>
      <c r="F33" s="33">
        <f>IFERROR(IF(INDEX('Amortisation Schedule'!G319:G330,MATCH(1E+300,'Amortisation Schedule'!G319:G330))&lt;0.01,0,INDEX('Amortisation Schedule'!G319:G330,MATCH(1E+300,'Amortisation Schedule'!G319:G330))),"")</f>
        <v/>
      </c>
    </row>
    <row r="34">
      <c r="B34" s="34">
        <f>IF(325&lt;=Calculator!C9,28,"")</f>
        <v/>
      </c>
      <c r="C34" s="35">
        <f>IF(325&lt;=Calculator!C9,SUMIF('Amortisation Schedule'!B331:B342,"&gt;0",'Amortisation Schedule'!D331:D342),"")</f>
        <v/>
      </c>
      <c r="D34" s="35">
        <f>IF(325&lt;=Calculator!C9,SUMIF('Amortisation Schedule'!B331:B342,"&gt;0",'Amortisation Schedule'!E331:E342),"")</f>
        <v/>
      </c>
      <c r="E34" s="35">
        <f>IF(325&lt;=Calculator!C9,SUMIF('Amortisation Schedule'!B331:B342,"&gt;0",'Amortisation Schedule'!F331:F342),"")</f>
        <v/>
      </c>
      <c r="F34" s="35">
        <f>IFERROR(IF(INDEX('Amortisation Schedule'!G331:G342,MATCH(1E+300,'Amortisation Schedule'!G331:G342))&lt;0.01,0,INDEX('Amortisation Schedule'!G331:G342,MATCH(1E+300,'Amortisation Schedule'!G331:G342))),"")</f>
        <v/>
      </c>
    </row>
    <row r="35">
      <c r="B35" s="32">
        <f>IF(337&lt;=Calculator!C9,29,"")</f>
        <v/>
      </c>
      <c r="C35" s="33">
        <f>IF(337&lt;=Calculator!C9,SUMIF('Amortisation Schedule'!B343:B354,"&gt;0",'Amortisation Schedule'!D343:D354),"")</f>
        <v/>
      </c>
      <c r="D35" s="33">
        <f>IF(337&lt;=Calculator!C9,SUMIF('Amortisation Schedule'!B343:B354,"&gt;0",'Amortisation Schedule'!E343:E354),"")</f>
        <v/>
      </c>
      <c r="E35" s="33">
        <f>IF(337&lt;=Calculator!C9,SUMIF('Amortisation Schedule'!B343:B354,"&gt;0",'Amortisation Schedule'!F343:F354),"")</f>
        <v/>
      </c>
      <c r="F35" s="33">
        <f>IFERROR(IF(INDEX('Amortisation Schedule'!G343:G354,MATCH(1E+300,'Amortisation Schedule'!G343:G354))&lt;0.01,0,INDEX('Amortisation Schedule'!G343:G354,MATCH(1E+300,'Amortisation Schedule'!G343:G354))),"")</f>
        <v/>
      </c>
    </row>
    <row r="36">
      <c r="B36" s="34">
        <f>IF(349&lt;=Calculator!C9,30,"")</f>
        <v/>
      </c>
      <c r="C36" s="35">
        <f>IF(349&lt;=Calculator!C9,SUMIF('Amortisation Schedule'!B355:B366,"&gt;0",'Amortisation Schedule'!D355:D366),"")</f>
        <v/>
      </c>
      <c r="D36" s="35">
        <f>IF(349&lt;=Calculator!C9,SUMIF('Amortisation Schedule'!B355:B366,"&gt;0",'Amortisation Schedule'!E355:E366),"")</f>
        <v/>
      </c>
      <c r="E36" s="35">
        <f>IF(349&lt;=Calculator!C9,SUMIF('Amortisation Schedule'!B355:B366,"&gt;0",'Amortisation Schedule'!F355:F366),"")</f>
        <v/>
      </c>
      <c r="F36" s="35">
        <f>IFERROR(IF(INDEX('Amortisation Schedule'!G355:G366,MATCH(1E+300,'Amortisation Schedule'!G355:G366))&lt;0.01,0,INDEX('Amortisation Schedule'!G355:G366,MATCH(1E+300,'Amortisation Schedule'!G355:G366))),"")</f>
        <v/>
      </c>
    </row>
    <row r="37">
      <c r="B37" s="25" t="inlineStr">
        <is>
          <t>TOTAL</t>
        </is>
      </c>
      <c r="C37" s="36">
        <f>SUM(C7:C36)</f>
        <v/>
      </c>
      <c r="D37" s="36">
        <f>SUM(D7:D36)</f>
        <v/>
      </c>
      <c r="E37" s="36">
        <f>SUM(E7:E36)</f>
        <v/>
      </c>
      <c r="F37" s="37" t="n"/>
    </row>
    <row r="38"/>
    <row r="39"/>
    <row r="40" ht="18" customHeight="1">
      <c r="A40" s="2" t="inlineStr">
        <is>
          <t>CalcGuru  |  Prepared by CA Tirumalesh Malla  |  calcguru.in    —    For indicative estimation only. Verify before filing or transacting.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1" formatRows="1" sort="1" password="BBBC"/>
  <mergeCells count="5">
    <mergeCell ref="A4:H4"/>
    <mergeCell ref="A3:H3"/>
    <mergeCell ref="A2:H2"/>
    <mergeCell ref="A40:F40"/>
    <mergeCell ref="A1:H1"/>
  </mergeCells>
  <pageMargins left="0.75" right="0.75" top="1" bottom="1" header="0.511811023622047" footer="0.511811023622047"/>
  <pageSetup orientation="portrait" paperSize="9" horizontalDpi="300" verticalDpi="30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2026-04-20T06:10:47Z</dcterms:created>
  <dcterms:modified xmlns:dcterms="http://purl.org/dc/terms/" xmlns:xsi="http://www.w3.org/2001/XMLSchema-instance" xsi:type="dcterms:W3CDTF">2026-07-13T16:14:49Z</dcterms:modified>
  <cp:lastModifiedBy>Tirumalesh Malla</cp:lastModifiedBy>
  <cp:revision>0</cp:revision>
</cp:coreProperties>
</file>