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SSY Calculator" sheetId="2" state="visible" r:id="rId2"/>
    <sheet xmlns:r="http://schemas.openxmlformats.org/officeDocument/2006/relationships" name="Monthly Deposit" sheetId="3" state="visible" r:id="rId3"/>
  </sheets>
  <definedNames>
    <definedName name="SM_amt" hidden="0" function="0" vbProcedure="0">'Monthly Deposit'!$C$6</definedName>
    <definedName name="SM_dep" hidden="0" function="0" vbProcedure="0">'Monthly Deposit'!$C$8</definedName>
    <definedName name="SM_mat" hidden="0" function="0" vbProcedure="0">'Monthly Deposit'!$C$9</definedName>
    <definedName name="SM_rate" hidden="0" function="0" vbProcedure="0">'Monthly Deposit'!$C$7</definedName>
    <definedName name="SSY_amt" hidden="0" function="0" vbProcedure="0">'SSY Calculator'!$C$6</definedName>
    <definedName name="SSY_dep" hidden="0" function="0" vbProcedure="0">'SSY Calculator'!$C$8</definedName>
    <definedName name="SSY_mat" hidden="0" function="0" vbProcedure="0">'SSY Calculator'!$C$9</definedName>
    <definedName name="SSY_rate" hidden="0" function="0" vbProcedure="0">'SSY Calculator'!$C$7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1">
    <numFmt numFmtId="164" formatCode="#,##0;[RED]\(#,##0\)"/>
  </numFmts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0"/>
      <b val="1"/>
      <color rgb="FFFFFFFF"/>
      <sz val="20"/>
    </font>
    <font>
      <name val="Calibri"/>
      <charset val="1"/>
      <family val="0"/>
      <b val="1"/>
      <color rgb="FFFFFFFF"/>
      <sz val="14"/>
    </font>
    <font>
      <name val="Calibri"/>
      <charset val="1"/>
      <family val="0"/>
      <i val="1"/>
      <color rgb="FFFFFFFF"/>
      <sz val="10"/>
    </font>
    <font>
      <name val="Calibri"/>
      <charset val="1"/>
      <family val="0"/>
      <b val="1"/>
      <color rgb="FF1E3A8A"/>
      <sz val="11"/>
    </font>
    <font>
      <name val="Calibri"/>
      <charset val="1"/>
      <family val="0"/>
      <b val="1"/>
      <color rgb="FF000000"/>
      <sz val="10"/>
    </font>
    <font>
      <name val="Calibri"/>
      <charset val="1"/>
      <family val="0"/>
      <color rgb="FF334155"/>
      <sz val="9"/>
    </font>
    <font>
      <name val="Calibri"/>
      <charset val="1"/>
      <family val="0"/>
      <i val="1"/>
      <color rgb="FF64748B"/>
      <sz val="8"/>
    </font>
    <font>
      <name val="Calibri"/>
      <charset val="1"/>
      <family val="0"/>
      <color rgb="FFFFFFFF"/>
      <sz val="9"/>
    </font>
    <font>
      <name val="Calibri"/>
      <charset val="1"/>
      <family val="0"/>
      <color rgb="FF000000"/>
      <sz val="10"/>
    </font>
    <font>
      <name val="Calibri"/>
      <charset val="1"/>
      <family val="0"/>
      <b val="1"/>
      <color rgb="FF000000"/>
      <sz val="11"/>
    </font>
    <font>
      <name val="Calibri"/>
      <charset val="1"/>
      <family val="0"/>
      <i val="1"/>
      <color rgb="FFF97316"/>
      <sz val="8"/>
    </font>
    <font>
      <name val="Calibri"/>
      <charset val="1"/>
      <family val="0"/>
      <b val="1"/>
      <color rgb="FFFFFFFF"/>
      <sz val="9"/>
    </font>
    <font>
      <name val="Calibri"/>
      <charset val="1"/>
      <family val="0"/>
      <color rgb="FF000000"/>
      <sz val="9"/>
    </font>
    <font>
      <name val="Calibri"/>
      <charset val="1"/>
      <family val="0"/>
      <b val="1"/>
      <color rgb="FFFFFFFF"/>
      <sz val="12"/>
    </font>
    <font>
      <name val="Calibri"/>
      <charset val="1"/>
      <family val="0"/>
      <b val="1"/>
      <color rgb="FF1E3A8A"/>
      <sz val="10"/>
    </font>
  </fonts>
  <fills count="9">
    <fill>
      <patternFill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1F5F9"/>
      </patternFill>
    </fill>
    <fill>
      <patternFill patternType="solid">
        <fgColor rgb="FFFFFFFF"/>
        <bgColor rgb="FFF1F5F9"/>
      </patternFill>
    </fill>
    <fill>
      <patternFill patternType="solid">
        <fgColor rgb="FFF1F5F9"/>
        <bgColor rgb="FFFFFFFF"/>
      </patternFill>
    </fill>
    <fill>
      <patternFill patternType="solid">
        <fgColor rgb="FFDCFCE7"/>
        <bgColor rgb="FFCCFFCC"/>
      </patternFill>
    </fill>
  </fills>
  <borders count="3">
    <border>
      <left/>
      <right/>
      <top/>
      <bottom/>
      <diagonal/>
    </border>
    <border>
      <left style="medium">
        <color rgb="FF1E3A8A"/>
      </left>
      <right style="medium">
        <color rgb="FF1E3A8A"/>
      </right>
      <top style="medium">
        <color rgb="FF1E3A8A"/>
      </top>
      <bottom style="medium">
        <color rgb="FF1E3A8A"/>
      </bottom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51"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center" vertical="center" wrapText="1"/>
    </xf>
    <xf numFmtId="0" fontId="5" fillId="3" borderId="0" applyAlignment="1" pivotButton="0" quotePrefix="0" xfId="0">
      <alignment horizontal="center" vertical="center" wrapText="1"/>
    </xf>
    <xf numFmtId="0" fontId="6" fillId="4" borderId="0" applyAlignment="1" pivotButton="0" quotePrefix="0" xfId="0">
      <alignment horizontal="center" vertical="center" wrapTex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left" vertical="center" wrapText="1"/>
    </xf>
    <xf numFmtId="0" fontId="9" fillId="0" borderId="0" applyAlignment="1" pivotButton="0" quotePrefix="0" xfId="0">
      <alignment horizontal="left" vertical="center" wrapText="1"/>
    </xf>
    <xf numFmtId="0" fontId="7" fillId="0" borderId="0" applyAlignment="1" pivotButton="0" quotePrefix="0" xfId="0">
      <alignment horizontal="left" vertical="center" wrapText="1"/>
    </xf>
    <xf numFmtId="0" fontId="10" fillId="0" borderId="0" applyAlignment="1" pivotButton="0" quotePrefix="0" xfId="0">
      <alignment horizontal="left" vertical="center" wrapText="1"/>
    </xf>
    <xf numFmtId="0" fontId="11" fillId="2" borderId="0" applyAlignment="1" pivotButton="0" quotePrefix="0" xfId="0">
      <alignment horizontal="center" vertical="center" wrapText="1"/>
    </xf>
    <xf numFmtId="0" fontId="12" fillId="0" borderId="0" applyAlignment="1" pivotButton="0" quotePrefix="0" xfId="0">
      <alignment horizontal="left" vertical="center" wrapText="1"/>
    </xf>
    <xf numFmtId="164" fontId="13" fillId="5" borderId="1" applyAlignment="1" applyProtection="1" pivotButton="0" quotePrefix="0" xfId="0">
      <alignment horizontal="center" vertical="center" wrapText="1"/>
      <protection locked="0"/>
    </xf>
    <xf numFmtId="0" fontId="14" fillId="0" borderId="0" applyAlignment="1" pivotButton="0" quotePrefix="0" xfId="0">
      <alignment horizontal="left" vertical="center" wrapText="1"/>
    </xf>
    <xf numFmtId="10" fontId="13" fillId="5" borderId="1" applyAlignment="1" applyProtection="1" pivotButton="0" quotePrefix="0" xfId="0">
      <alignment horizontal="center" vertical="center" wrapText="1"/>
      <protection locked="0"/>
    </xf>
    <xf numFmtId="1" fontId="13" fillId="5" borderId="1" applyAlignment="1" applyProtection="1" pivotButton="0" quotePrefix="0" xfId="0">
      <alignment horizontal="center" vertical="center" wrapText="1"/>
      <protection locked="0"/>
    </xf>
    <xf numFmtId="0" fontId="15" fillId="2" borderId="1" applyAlignment="1" pivotButton="0" quotePrefix="0" xfId="0">
      <alignment horizontal="center" vertical="center" wrapText="1"/>
    </xf>
    <xf numFmtId="0" fontId="16" fillId="6" borderId="2" applyAlignment="1" pivotButton="0" quotePrefix="0" xfId="0">
      <alignment horizontal="center" vertical="center" wrapText="1"/>
    </xf>
    <xf numFmtId="164" fontId="16" fillId="6" borderId="2" applyAlignment="1" pivotButton="0" quotePrefix="0" xfId="0">
      <alignment horizontal="right" vertical="center"/>
    </xf>
    <xf numFmtId="0" fontId="16" fillId="7" borderId="2" applyAlignment="1" pivotButton="0" quotePrefix="0" xfId="0">
      <alignment horizontal="center" vertical="center" wrapText="1"/>
    </xf>
    <xf numFmtId="164" fontId="16" fillId="7" borderId="2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164" fontId="13" fillId="8" borderId="1" applyAlignment="1" pivotButton="0" quotePrefix="0" xfId="0">
      <alignment horizontal="right" vertical="center"/>
    </xf>
    <xf numFmtId="0" fontId="17" fillId="4" borderId="0" applyAlignment="1" pivotButton="0" quotePrefix="0" xfId="0">
      <alignment horizontal="right" vertical="center"/>
    </xf>
    <xf numFmtId="164" fontId="17" fillId="4" borderId="1" applyAlignment="1" pivotButton="0" quotePrefix="0" xfId="0">
      <alignment horizontal="right" vertical="center"/>
    </xf>
    <xf numFmtId="0" fontId="18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0" applyAlignment="1" pivotButton="0" quotePrefix="0" xfId="0">
      <alignment horizontal="center" vertical="center" wrapText="1"/>
    </xf>
    <xf numFmtId="0" fontId="5" fillId="3" borderId="0" applyAlignment="1" pivotButton="0" quotePrefix="0" xfId="0">
      <alignment horizontal="center" vertical="center" wrapText="1"/>
    </xf>
    <xf numFmtId="0" fontId="6" fillId="4" borderId="0" applyAlignment="1" pivotButton="0" quotePrefix="0" xfId="0">
      <alignment horizontal="center" vertical="center" wrapTex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left" vertical="center" wrapText="1"/>
    </xf>
    <xf numFmtId="0" fontId="9" fillId="0" borderId="0" applyAlignment="1" pivotButton="0" quotePrefix="0" xfId="0">
      <alignment horizontal="left" vertical="center" wrapText="1"/>
    </xf>
    <xf numFmtId="0" fontId="7" fillId="0" borderId="0" applyAlignment="1" pivotButton="0" quotePrefix="0" xfId="0">
      <alignment horizontal="left" vertical="center" wrapText="1"/>
    </xf>
    <xf numFmtId="0" fontId="10" fillId="0" borderId="0" applyAlignment="1" pivotButton="0" quotePrefix="0" xfId="0">
      <alignment horizontal="left" vertical="center" wrapText="1"/>
    </xf>
    <xf numFmtId="0" fontId="11" fillId="2" borderId="0" applyAlignment="1" pivotButton="0" quotePrefix="0" xfId="0">
      <alignment horizontal="center" vertical="center" wrapText="1"/>
    </xf>
    <xf numFmtId="0" fontId="12" fillId="0" borderId="0" applyAlignment="1" pivotButton="0" quotePrefix="0" xfId="0">
      <alignment horizontal="left" vertical="center" wrapText="1"/>
    </xf>
    <xf numFmtId="164" fontId="13" fillId="5" borderId="1" applyAlignment="1" applyProtection="1" pivotButton="0" quotePrefix="0" xfId="0">
      <alignment horizontal="center" vertical="center" wrapText="1"/>
      <protection locked="0"/>
    </xf>
    <xf numFmtId="0" fontId="14" fillId="0" borderId="0" applyAlignment="1" pivotButton="0" quotePrefix="0" xfId="0">
      <alignment horizontal="left" vertical="center" wrapText="1"/>
    </xf>
    <xf numFmtId="10" fontId="13" fillId="5" borderId="1" applyAlignment="1" applyProtection="1" pivotButton="0" quotePrefix="0" xfId="0">
      <alignment horizontal="center" vertical="center" wrapText="1"/>
      <protection locked="0"/>
    </xf>
    <xf numFmtId="1" fontId="13" fillId="5" borderId="1" applyAlignment="1" applyProtection="1" pivotButton="0" quotePrefix="0" xfId="0">
      <alignment horizontal="center" vertical="center" wrapText="1"/>
      <protection locked="0"/>
    </xf>
    <xf numFmtId="0" fontId="15" fillId="2" borderId="1" applyAlignment="1" pivotButton="0" quotePrefix="0" xfId="0">
      <alignment horizontal="center" vertical="center" wrapText="1"/>
    </xf>
    <xf numFmtId="0" fontId="16" fillId="6" borderId="2" applyAlignment="1" pivotButton="0" quotePrefix="0" xfId="0">
      <alignment horizontal="center" vertical="center" wrapText="1"/>
    </xf>
    <xf numFmtId="164" fontId="16" fillId="6" borderId="2" applyAlignment="1" pivotButton="0" quotePrefix="0" xfId="0">
      <alignment horizontal="right" vertical="center"/>
    </xf>
    <xf numFmtId="0" fontId="16" fillId="7" borderId="2" applyAlignment="1" pivotButton="0" quotePrefix="0" xfId="0">
      <alignment horizontal="center" vertical="center" wrapText="1"/>
    </xf>
    <xf numFmtId="164" fontId="16" fillId="7" borderId="2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164" fontId="13" fillId="8" borderId="1" applyAlignment="1" pivotButton="0" quotePrefix="0" xfId="0">
      <alignment horizontal="right" vertical="center"/>
    </xf>
    <xf numFmtId="0" fontId="17" fillId="4" borderId="0" applyAlignment="1" pivotButton="0" quotePrefix="0" xfId="0">
      <alignment horizontal="right" vertical="center"/>
    </xf>
    <xf numFmtId="164" fontId="17" fillId="4" borderId="1" applyAlignment="1" pivotButton="0" quotePrefix="0" xfId="0">
      <alignment horizontal="right" vertical="center"/>
    </xf>
    <xf numFmtId="0" fontId="18" fillId="0" borderId="0" applyAlignment="1" pivotButton="0" quotePrefix="0" xfId="0">
      <alignment horizontal="general" vertical="bottom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1F5F9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4155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H26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14" customWidth="1" style="25" min="1" max="8"/>
  </cols>
  <sheetData>
    <row r="1" ht="27.75" customHeight="1" s="26">
      <c r="A1" s="27" t="inlineStr">
        <is>
          <t>CalcGuru</t>
        </is>
      </c>
    </row>
    <row r="2" ht="19.5" customHeight="1" s="26">
      <c r="A2" s="28" t="inlineStr">
        <is>
          <t>Sukanya Samriddhi Yojana (SSY)</t>
        </is>
      </c>
    </row>
    <row r="3" ht="15.75" customHeight="1" s="26">
      <c r="A3" s="29" t="inlineStr">
        <is>
          <t>Maturity projection for your daughter's account  |  FY 2026-27</t>
        </is>
      </c>
    </row>
    <row r="4"/>
    <row r="5" ht="15" customHeight="1" s="26">
      <c r="A5" s="30" t="inlineStr">
        <is>
          <t>Scheme rules (Sukanya Samriddhi Account Scheme, 2019):</t>
        </is>
      </c>
    </row>
    <row r="6" ht="15" customHeight="1" s="26">
      <c r="A6" s="31" t="inlineStr">
        <is>
          <t>Interest rate</t>
        </is>
      </c>
    </row>
    <row r="7" ht="30" customHeight="1" s="26">
      <c r="A7" s="32" t="inlineStr">
        <is>
          <t>8.2% p.a. for Apr-Jun 2026 (Q1 FY 2026-27). Compounded annually. Rate is reset every quarter by the Finance Ministry - edit the yellow rate cell if it changes.</t>
        </is>
      </c>
    </row>
    <row r="8" ht="15" customHeight="1" s="26">
      <c r="A8" s="31" t="inlineStr">
        <is>
          <t>Eligibility</t>
        </is>
      </c>
    </row>
    <row r="9" ht="30" customHeight="1" s="26">
      <c r="A9" s="32" t="inlineStr">
        <is>
          <t>One account per girl child, opened before she turns 10. Max two accounts per family (three if twins/triplets).</t>
        </is>
      </c>
    </row>
    <row r="10" ht="15" customHeight="1" s="26">
      <c r="A10" s="31" t="inlineStr">
        <is>
          <t>Deposit period</t>
        </is>
      </c>
    </row>
    <row r="11" ht="30" customHeight="1" s="26">
      <c r="A11" s="32" t="inlineStr">
        <is>
          <t>Deposits for 15 years from the date of opening. Minimum Rs 250 and maximum Rs 1,50,000 per financial year. Qualifies for 80C (old regime).</t>
        </is>
      </c>
    </row>
    <row r="12" ht="15" customHeight="1" s="26">
      <c r="A12" s="31" t="inlineStr">
        <is>
          <t>Maturity</t>
        </is>
      </c>
    </row>
    <row r="13" ht="30" customHeight="1" s="26">
      <c r="A13" s="32" t="inlineStr">
        <is>
          <t>Account matures 21 years from opening. In years 16-21 NO deposits are made but the balance keeps earning interest. (Editable below if your account terms differ.)</t>
        </is>
      </c>
    </row>
    <row r="14" ht="15" customHeight="1" s="26">
      <c r="A14" s="31" t="inlineStr">
        <is>
          <t>Withdrawal / closure</t>
        </is>
      </c>
    </row>
    <row r="15" ht="30" customHeight="1" s="26">
      <c r="A15" s="32" t="inlineStr">
        <is>
          <t>Up to 50% of the prior-year balance can be withdrawn after the girl turns 18 (higher education). Account may be closed on her marriage after 18. Not modelled here.</t>
        </is>
      </c>
    </row>
    <row r="16" ht="15" customHeight="1" s="26">
      <c r="A16" s="31" t="inlineStr">
        <is>
          <t>Tax status</t>
        </is>
      </c>
    </row>
    <row r="17" ht="30" customHeight="1" s="26">
      <c r="A17" s="32" t="inlineStr">
        <is>
          <t>EEE - deposit (80C), annual interest, and maturity proceeds are all fully tax-exempt.</t>
        </is>
      </c>
    </row>
    <row r="18"/>
    <row r="19" ht="15" customHeight="1" s="26">
      <c r="A19" s="33" t="inlineStr">
        <is>
          <t>How to use</t>
        </is>
      </c>
    </row>
    <row r="20" ht="15" customHeight="1" s="26">
      <c r="A20" s="32" t="inlineStr">
        <is>
          <t>1. 'SSY Calculator' sheet - enter annual deposit, rate, deposit years (15) and maturity years (21); read maturity + year-wise passbook.</t>
        </is>
      </c>
    </row>
    <row r="21" ht="15" customHeight="1" s="26">
      <c r="A21" s="32" t="inlineStr">
        <is>
          <t>2. 'Monthly Deposit' sheet - if you deposit monthly, this uses the exact min-balance interest rule (deposit on/before the 5th).</t>
        </is>
      </c>
    </row>
    <row r="22" ht="15" customHeight="1" s="26">
      <c r="A22" s="32" t="inlineStr">
        <is>
          <t>3. Yellow cells are inputs; everything else is locked. Password to unprotect: CalcGuru@2026.</t>
        </is>
      </c>
    </row>
    <row r="23"/>
    <row r="24" ht="24" customHeight="1" s="26">
      <c r="A24" s="34" t="inlineStr">
        <is>
          <t>Disclaimer: Projection assumes a constant rate and no withdrawals. SSY interest is reset quarterly. For guidance only.</t>
        </is>
      </c>
    </row>
    <row r="25"/>
    <row r="26" ht="15" customHeight="1" s="26">
      <c r="A26" s="35" t="inlineStr">
        <is>
          <t>Prepared by CA Tirumalesh Malla  |  calcguru.in  |  Free CA working files &amp; calculators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21">
    <mergeCell ref="A9:H9"/>
    <mergeCell ref="A15:H15"/>
    <mergeCell ref="A24:H24"/>
    <mergeCell ref="A11:H11"/>
    <mergeCell ref="A1:H1"/>
    <mergeCell ref="A6:H6"/>
    <mergeCell ref="A7:H7"/>
    <mergeCell ref="A16:H16"/>
    <mergeCell ref="A12:H12"/>
    <mergeCell ref="A3:H3"/>
    <mergeCell ref="A21:H21"/>
    <mergeCell ref="A26:H26"/>
    <mergeCell ref="A2:H2"/>
    <mergeCell ref="A14:H14"/>
    <mergeCell ref="A8:H8"/>
    <mergeCell ref="A22:H22"/>
    <mergeCell ref="A17:H17"/>
    <mergeCell ref="A20:H20"/>
    <mergeCell ref="A10:H10"/>
    <mergeCell ref="A13:H13"/>
    <mergeCell ref="A19:H19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G48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0" ySplit="12" topLeftCell="A13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8" customWidth="1" style="25" min="1" max="1"/>
    <col width="20" customWidth="1" style="25" min="2" max="2"/>
    <col width="15" customWidth="1" style="25" min="3" max="7"/>
  </cols>
  <sheetData>
    <row r="1" ht="27.75" customHeight="1" s="26">
      <c r="A1" s="27" t="inlineStr">
        <is>
          <t>CalcGuru</t>
        </is>
      </c>
    </row>
    <row r="2" ht="19.5" customHeight="1" s="26">
      <c r="A2" s="28" t="inlineStr">
        <is>
          <t>SSY Calculator (Annual Deposit)</t>
        </is>
      </c>
    </row>
    <row r="3" ht="15.75" customHeight="1" s="26">
      <c r="A3" s="29" t="inlineStr">
        <is>
          <t>Yearly lump-sum  |  Deposits 15 yrs, matures 21 yrs</t>
        </is>
      </c>
    </row>
    <row r="4"/>
    <row r="5" ht="15" customHeight="1" s="26">
      <c r="B5" s="30" t="inlineStr">
        <is>
          <t>Inputs</t>
        </is>
      </c>
    </row>
    <row r="6" ht="17.9" customHeight="1" s="26">
      <c r="B6" s="36" t="inlineStr">
        <is>
          <t>Annual deposit (Rs)</t>
        </is>
      </c>
      <c r="C6" s="37" t="n">
        <v>150000</v>
      </c>
      <c r="E6" s="38" t="inlineStr">
        <is>
          <t>&lt;- max Rs 1,50,000 / year</t>
        </is>
      </c>
    </row>
    <row r="7" ht="17.9" customHeight="1" s="26">
      <c r="B7" s="36" t="inlineStr">
        <is>
          <t>Interest rate (p.a.)</t>
        </is>
      </c>
      <c r="C7" s="39" t="n">
        <v>0.082</v>
      </c>
      <c r="E7" s="38" t="inlineStr">
        <is>
          <t>&lt;- editable if MoF revises</t>
        </is>
      </c>
    </row>
    <row r="8" ht="17.9" customHeight="1" s="26">
      <c r="B8" s="36" t="inlineStr">
        <is>
          <t>Deposit years</t>
        </is>
      </c>
      <c r="C8" s="40" t="n">
        <v>15</v>
      </c>
      <c r="E8" s="38" t="inlineStr">
        <is>
          <t>&lt;- deposits made for these many years</t>
        </is>
      </c>
    </row>
    <row r="9" ht="17.9" customHeight="1" s="26">
      <c r="B9" s="36" t="inlineStr">
        <is>
          <t>Maturity (years)</t>
        </is>
      </c>
      <c r="C9" s="40" t="n">
        <v>21</v>
      </c>
      <c r="E9" s="38" t="inlineStr">
        <is>
          <t>&lt;- account matures; interest runs till here</t>
        </is>
      </c>
    </row>
    <row r="10"/>
    <row r="11" ht="15" customHeight="1" s="26">
      <c r="B11" s="30" t="inlineStr">
        <is>
          <t>Year-wise passbook</t>
        </is>
      </c>
    </row>
    <row r="12" ht="15" customHeight="1" s="26">
      <c r="A12" s="41" t="inlineStr">
        <is>
          <t>Year</t>
        </is>
      </c>
      <c r="B12" s="41" t="inlineStr">
        <is>
          <t>Opening Balance</t>
        </is>
      </c>
      <c r="C12" s="41" t="inlineStr">
        <is>
          <t>Deposit</t>
        </is>
      </c>
      <c r="D12" s="41" t="inlineStr">
        <is>
          <t>Interest</t>
        </is>
      </c>
      <c r="E12" s="41" t="inlineStr">
        <is>
          <t>Closing Balance</t>
        </is>
      </c>
    </row>
    <row r="13" ht="15" customHeight="1" s="26">
      <c r="A13" s="42">
        <f>IF(1&lt;=SSY_mat,1,"")</f>
        <v/>
      </c>
      <c r="B13" s="43">
        <f>IF(1&lt;=SSY_mat,0,"")</f>
        <v/>
      </c>
      <c r="C13" s="43">
        <f>IF(1&lt;=SSY_mat,IF(1&lt;=SSY_dep,SSY_amt,0),"")</f>
        <v/>
      </c>
      <c r="D13" s="43">
        <f>IF(1&lt;=SSY_mat,(B13+C13)*SSY_rate,"")</f>
        <v/>
      </c>
      <c r="E13" s="43">
        <f>IF(1&lt;=SSY_mat,B13+C13+D13,"")</f>
        <v/>
      </c>
    </row>
    <row r="14" ht="15" customHeight="1" s="26">
      <c r="A14" s="44">
        <f>IF(2&lt;=SSY_mat,2,"")</f>
        <v/>
      </c>
      <c r="B14" s="45">
        <f>IF(2&lt;=SSY_mat,E13,"")</f>
        <v/>
      </c>
      <c r="C14" s="45">
        <f>IF(2&lt;=SSY_mat,IF(2&lt;=SSY_dep,SSY_amt,0),"")</f>
        <v/>
      </c>
      <c r="D14" s="45">
        <f>IF(2&lt;=SSY_mat,(B14+C14)*SSY_rate,"")</f>
        <v/>
      </c>
      <c r="E14" s="45">
        <f>IF(2&lt;=SSY_mat,B14+C14+D14,"")</f>
        <v/>
      </c>
    </row>
    <row r="15" ht="15" customHeight="1" s="26">
      <c r="A15" s="42">
        <f>IF(3&lt;=SSY_mat,3,"")</f>
        <v/>
      </c>
      <c r="B15" s="43">
        <f>IF(3&lt;=SSY_mat,E14,"")</f>
        <v/>
      </c>
      <c r="C15" s="43">
        <f>IF(3&lt;=SSY_mat,IF(3&lt;=SSY_dep,SSY_amt,0),"")</f>
        <v/>
      </c>
      <c r="D15" s="43">
        <f>IF(3&lt;=SSY_mat,(B15+C15)*SSY_rate,"")</f>
        <v/>
      </c>
      <c r="E15" s="43">
        <f>IF(3&lt;=SSY_mat,B15+C15+D15,"")</f>
        <v/>
      </c>
    </row>
    <row r="16" ht="15" customHeight="1" s="26">
      <c r="A16" s="44">
        <f>IF(4&lt;=SSY_mat,4,"")</f>
        <v/>
      </c>
      <c r="B16" s="45">
        <f>IF(4&lt;=SSY_mat,E15,"")</f>
        <v/>
      </c>
      <c r="C16" s="45">
        <f>IF(4&lt;=SSY_mat,IF(4&lt;=SSY_dep,SSY_amt,0),"")</f>
        <v/>
      </c>
      <c r="D16" s="45">
        <f>IF(4&lt;=SSY_mat,(B16+C16)*SSY_rate,"")</f>
        <v/>
      </c>
      <c r="E16" s="45">
        <f>IF(4&lt;=SSY_mat,B16+C16+D16,"")</f>
        <v/>
      </c>
    </row>
    <row r="17" ht="15" customHeight="1" s="26">
      <c r="A17" s="42">
        <f>IF(5&lt;=SSY_mat,5,"")</f>
        <v/>
      </c>
      <c r="B17" s="43">
        <f>IF(5&lt;=SSY_mat,E16,"")</f>
        <v/>
      </c>
      <c r="C17" s="43">
        <f>IF(5&lt;=SSY_mat,IF(5&lt;=SSY_dep,SSY_amt,0),"")</f>
        <v/>
      </c>
      <c r="D17" s="43">
        <f>IF(5&lt;=SSY_mat,(B17+C17)*SSY_rate,"")</f>
        <v/>
      </c>
      <c r="E17" s="43">
        <f>IF(5&lt;=SSY_mat,B17+C17+D17,"")</f>
        <v/>
      </c>
    </row>
    <row r="18" ht="15" customHeight="1" s="26">
      <c r="A18" s="44">
        <f>IF(6&lt;=SSY_mat,6,"")</f>
        <v/>
      </c>
      <c r="B18" s="45">
        <f>IF(6&lt;=SSY_mat,E17,"")</f>
        <v/>
      </c>
      <c r="C18" s="45">
        <f>IF(6&lt;=SSY_mat,IF(6&lt;=SSY_dep,SSY_amt,0),"")</f>
        <v/>
      </c>
      <c r="D18" s="45">
        <f>IF(6&lt;=SSY_mat,(B18+C18)*SSY_rate,"")</f>
        <v/>
      </c>
      <c r="E18" s="45">
        <f>IF(6&lt;=SSY_mat,B18+C18+D18,"")</f>
        <v/>
      </c>
    </row>
    <row r="19" ht="15" customHeight="1" s="26">
      <c r="A19" s="42">
        <f>IF(7&lt;=SSY_mat,7,"")</f>
        <v/>
      </c>
      <c r="B19" s="43">
        <f>IF(7&lt;=SSY_mat,E18,"")</f>
        <v/>
      </c>
      <c r="C19" s="43">
        <f>IF(7&lt;=SSY_mat,IF(7&lt;=SSY_dep,SSY_amt,0),"")</f>
        <v/>
      </c>
      <c r="D19" s="43">
        <f>IF(7&lt;=SSY_mat,(B19+C19)*SSY_rate,"")</f>
        <v/>
      </c>
      <c r="E19" s="43">
        <f>IF(7&lt;=SSY_mat,B19+C19+D19,"")</f>
        <v/>
      </c>
    </row>
    <row r="20" ht="15" customHeight="1" s="26">
      <c r="A20" s="44">
        <f>IF(8&lt;=SSY_mat,8,"")</f>
        <v/>
      </c>
      <c r="B20" s="45">
        <f>IF(8&lt;=SSY_mat,E19,"")</f>
        <v/>
      </c>
      <c r="C20" s="45">
        <f>IF(8&lt;=SSY_mat,IF(8&lt;=SSY_dep,SSY_amt,0),"")</f>
        <v/>
      </c>
      <c r="D20" s="45">
        <f>IF(8&lt;=SSY_mat,(B20+C20)*SSY_rate,"")</f>
        <v/>
      </c>
      <c r="E20" s="45">
        <f>IF(8&lt;=SSY_mat,B20+C20+D20,"")</f>
        <v/>
      </c>
    </row>
    <row r="21" ht="15" customHeight="1" s="26">
      <c r="A21" s="42">
        <f>IF(9&lt;=SSY_mat,9,"")</f>
        <v/>
      </c>
      <c r="B21" s="43">
        <f>IF(9&lt;=SSY_mat,E20,"")</f>
        <v/>
      </c>
      <c r="C21" s="43">
        <f>IF(9&lt;=SSY_mat,IF(9&lt;=SSY_dep,SSY_amt,0),"")</f>
        <v/>
      </c>
      <c r="D21" s="43">
        <f>IF(9&lt;=SSY_mat,(B21+C21)*SSY_rate,"")</f>
        <v/>
      </c>
      <c r="E21" s="43">
        <f>IF(9&lt;=SSY_mat,B21+C21+D21,"")</f>
        <v/>
      </c>
    </row>
    <row r="22" ht="15" customHeight="1" s="26">
      <c r="A22" s="44">
        <f>IF(10&lt;=SSY_mat,10,"")</f>
        <v/>
      </c>
      <c r="B22" s="45">
        <f>IF(10&lt;=SSY_mat,E21,"")</f>
        <v/>
      </c>
      <c r="C22" s="45">
        <f>IF(10&lt;=SSY_mat,IF(10&lt;=SSY_dep,SSY_amt,0),"")</f>
        <v/>
      </c>
      <c r="D22" s="45">
        <f>IF(10&lt;=SSY_mat,(B22+C22)*SSY_rate,"")</f>
        <v/>
      </c>
      <c r="E22" s="45">
        <f>IF(10&lt;=SSY_mat,B22+C22+D22,"")</f>
        <v/>
      </c>
    </row>
    <row r="23" ht="15" customHeight="1" s="26">
      <c r="A23" s="42">
        <f>IF(11&lt;=SSY_mat,11,"")</f>
        <v/>
      </c>
      <c r="B23" s="43">
        <f>IF(11&lt;=SSY_mat,E22,"")</f>
        <v/>
      </c>
      <c r="C23" s="43">
        <f>IF(11&lt;=SSY_mat,IF(11&lt;=SSY_dep,SSY_amt,0),"")</f>
        <v/>
      </c>
      <c r="D23" s="43">
        <f>IF(11&lt;=SSY_mat,(B23+C23)*SSY_rate,"")</f>
        <v/>
      </c>
      <c r="E23" s="43">
        <f>IF(11&lt;=SSY_mat,B23+C23+D23,"")</f>
        <v/>
      </c>
    </row>
    <row r="24" ht="15" customHeight="1" s="26">
      <c r="A24" s="44">
        <f>IF(12&lt;=SSY_mat,12,"")</f>
        <v/>
      </c>
      <c r="B24" s="45">
        <f>IF(12&lt;=SSY_mat,E23,"")</f>
        <v/>
      </c>
      <c r="C24" s="45">
        <f>IF(12&lt;=SSY_mat,IF(12&lt;=SSY_dep,SSY_amt,0),"")</f>
        <v/>
      </c>
      <c r="D24" s="45">
        <f>IF(12&lt;=SSY_mat,(B24+C24)*SSY_rate,"")</f>
        <v/>
      </c>
      <c r="E24" s="45">
        <f>IF(12&lt;=SSY_mat,B24+C24+D24,"")</f>
        <v/>
      </c>
    </row>
    <row r="25" ht="15" customHeight="1" s="26">
      <c r="A25" s="42">
        <f>IF(13&lt;=SSY_mat,13,"")</f>
        <v/>
      </c>
      <c r="B25" s="43">
        <f>IF(13&lt;=SSY_mat,E24,"")</f>
        <v/>
      </c>
      <c r="C25" s="43">
        <f>IF(13&lt;=SSY_mat,IF(13&lt;=SSY_dep,SSY_amt,0),"")</f>
        <v/>
      </c>
      <c r="D25" s="43">
        <f>IF(13&lt;=SSY_mat,(B25+C25)*SSY_rate,"")</f>
        <v/>
      </c>
      <c r="E25" s="43">
        <f>IF(13&lt;=SSY_mat,B25+C25+D25,"")</f>
        <v/>
      </c>
    </row>
    <row r="26" ht="15" customHeight="1" s="26">
      <c r="A26" s="44">
        <f>IF(14&lt;=SSY_mat,14,"")</f>
        <v/>
      </c>
      <c r="B26" s="45">
        <f>IF(14&lt;=SSY_mat,E25,"")</f>
        <v/>
      </c>
      <c r="C26" s="45">
        <f>IF(14&lt;=SSY_mat,IF(14&lt;=SSY_dep,SSY_amt,0),"")</f>
        <v/>
      </c>
      <c r="D26" s="45">
        <f>IF(14&lt;=SSY_mat,(B26+C26)*SSY_rate,"")</f>
        <v/>
      </c>
      <c r="E26" s="45">
        <f>IF(14&lt;=SSY_mat,B26+C26+D26,"")</f>
        <v/>
      </c>
    </row>
    <row r="27" ht="15" customHeight="1" s="26">
      <c r="A27" s="42">
        <f>IF(15&lt;=SSY_mat,15,"")</f>
        <v/>
      </c>
      <c r="B27" s="43">
        <f>IF(15&lt;=SSY_mat,E26,"")</f>
        <v/>
      </c>
      <c r="C27" s="43">
        <f>IF(15&lt;=SSY_mat,IF(15&lt;=SSY_dep,SSY_amt,0),"")</f>
        <v/>
      </c>
      <c r="D27" s="43">
        <f>IF(15&lt;=SSY_mat,(B27+C27)*SSY_rate,"")</f>
        <v/>
      </c>
      <c r="E27" s="43">
        <f>IF(15&lt;=SSY_mat,B27+C27+D27,"")</f>
        <v/>
      </c>
    </row>
    <row r="28" ht="15" customHeight="1" s="26">
      <c r="A28" s="44">
        <f>IF(16&lt;=SSY_mat,16,"")</f>
        <v/>
      </c>
      <c r="B28" s="45">
        <f>IF(16&lt;=SSY_mat,E27,"")</f>
        <v/>
      </c>
      <c r="C28" s="45">
        <f>IF(16&lt;=SSY_mat,IF(16&lt;=SSY_dep,SSY_amt,0),"")</f>
        <v/>
      </c>
      <c r="D28" s="45">
        <f>IF(16&lt;=SSY_mat,(B28+C28)*SSY_rate,"")</f>
        <v/>
      </c>
      <c r="E28" s="45">
        <f>IF(16&lt;=SSY_mat,B28+C28+D28,"")</f>
        <v/>
      </c>
    </row>
    <row r="29" ht="15" customHeight="1" s="26">
      <c r="A29" s="42">
        <f>IF(17&lt;=SSY_mat,17,"")</f>
        <v/>
      </c>
      <c r="B29" s="43">
        <f>IF(17&lt;=SSY_mat,E28,"")</f>
        <v/>
      </c>
      <c r="C29" s="43">
        <f>IF(17&lt;=SSY_mat,IF(17&lt;=SSY_dep,SSY_amt,0),"")</f>
        <v/>
      </c>
      <c r="D29" s="43">
        <f>IF(17&lt;=SSY_mat,(B29+C29)*SSY_rate,"")</f>
        <v/>
      </c>
      <c r="E29" s="43">
        <f>IF(17&lt;=SSY_mat,B29+C29+D29,"")</f>
        <v/>
      </c>
    </row>
    <row r="30" ht="15" customHeight="1" s="26">
      <c r="A30" s="44">
        <f>IF(18&lt;=SSY_mat,18,"")</f>
        <v/>
      </c>
      <c r="B30" s="45">
        <f>IF(18&lt;=SSY_mat,E29,"")</f>
        <v/>
      </c>
      <c r="C30" s="45">
        <f>IF(18&lt;=SSY_mat,IF(18&lt;=SSY_dep,SSY_amt,0),"")</f>
        <v/>
      </c>
      <c r="D30" s="45">
        <f>IF(18&lt;=SSY_mat,(B30+C30)*SSY_rate,"")</f>
        <v/>
      </c>
      <c r="E30" s="45">
        <f>IF(18&lt;=SSY_mat,B30+C30+D30,"")</f>
        <v/>
      </c>
    </row>
    <row r="31" ht="15" customHeight="1" s="26">
      <c r="A31" s="42">
        <f>IF(19&lt;=SSY_mat,19,"")</f>
        <v/>
      </c>
      <c r="B31" s="43">
        <f>IF(19&lt;=SSY_mat,E30,"")</f>
        <v/>
      </c>
      <c r="C31" s="43">
        <f>IF(19&lt;=SSY_mat,IF(19&lt;=SSY_dep,SSY_amt,0),"")</f>
        <v/>
      </c>
      <c r="D31" s="43">
        <f>IF(19&lt;=SSY_mat,(B31+C31)*SSY_rate,"")</f>
        <v/>
      </c>
      <c r="E31" s="43">
        <f>IF(19&lt;=SSY_mat,B31+C31+D31,"")</f>
        <v/>
      </c>
    </row>
    <row r="32" ht="15" customHeight="1" s="26">
      <c r="A32" s="44">
        <f>IF(20&lt;=SSY_mat,20,"")</f>
        <v/>
      </c>
      <c r="B32" s="45">
        <f>IF(20&lt;=SSY_mat,E31,"")</f>
        <v/>
      </c>
      <c r="C32" s="45">
        <f>IF(20&lt;=SSY_mat,IF(20&lt;=SSY_dep,SSY_amt,0),"")</f>
        <v/>
      </c>
      <c r="D32" s="45">
        <f>IF(20&lt;=SSY_mat,(B32+C32)*SSY_rate,"")</f>
        <v/>
      </c>
      <c r="E32" s="45">
        <f>IF(20&lt;=SSY_mat,B32+C32+D32,"")</f>
        <v/>
      </c>
    </row>
    <row r="33" ht="15" customHeight="1" s="26">
      <c r="A33" s="42">
        <f>IF(21&lt;=SSY_mat,21,"")</f>
        <v/>
      </c>
      <c r="B33" s="43">
        <f>IF(21&lt;=SSY_mat,E32,"")</f>
        <v/>
      </c>
      <c r="C33" s="43">
        <f>IF(21&lt;=SSY_mat,IF(21&lt;=SSY_dep,SSY_amt,0),"")</f>
        <v/>
      </c>
      <c r="D33" s="43">
        <f>IF(21&lt;=SSY_mat,(B33+C33)*SSY_rate,"")</f>
        <v/>
      </c>
      <c r="E33" s="43">
        <f>IF(21&lt;=SSY_mat,B33+C33+D33,"")</f>
        <v/>
      </c>
    </row>
    <row r="34" ht="15" customHeight="1" s="26">
      <c r="A34" s="44">
        <f>IF(22&lt;=SSY_mat,22,"")</f>
        <v/>
      </c>
      <c r="B34" s="45">
        <f>IF(22&lt;=SSY_mat,E33,"")</f>
        <v/>
      </c>
      <c r="C34" s="45">
        <f>IF(22&lt;=SSY_mat,IF(22&lt;=SSY_dep,SSY_amt,0),"")</f>
        <v/>
      </c>
      <c r="D34" s="45">
        <f>IF(22&lt;=SSY_mat,(B34+C34)*SSY_rate,"")</f>
        <v/>
      </c>
      <c r="E34" s="45">
        <f>IF(22&lt;=SSY_mat,B34+C34+D34,"")</f>
        <v/>
      </c>
    </row>
    <row r="35" ht="15" customHeight="1" s="26">
      <c r="A35" s="42">
        <f>IF(23&lt;=SSY_mat,23,"")</f>
        <v/>
      </c>
      <c r="B35" s="43">
        <f>IF(23&lt;=SSY_mat,E34,"")</f>
        <v/>
      </c>
      <c r="C35" s="43">
        <f>IF(23&lt;=SSY_mat,IF(23&lt;=SSY_dep,SSY_amt,0),"")</f>
        <v/>
      </c>
      <c r="D35" s="43">
        <f>IF(23&lt;=SSY_mat,(B35+C35)*SSY_rate,"")</f>
        <v/>
      </c>
      <c r="E35" s="43">
        <f>IF(23&lt;=SSY_mat,B35+C35+D35,"")</f>
        <v/>
      </c>
    </row>
    <row r="36" ht="15" customHeight="1" s="26">
      <c r="A36" s="44">
        <f>IF(24&lt;=SSY_mat,24,"")</f>
        <v/>
      </c>
      <c r="B36" s="45">
        <f>IF(24&lt;=SSY_mat,E35,"")</f>
        <v/>
      </c>
      <c r="C36" s="45">
        <f>IF(24&lt;=SSY_mat,IF(24&lt;=SSY_dep,SSY_amt,0),"")</f>
        <v/>
      </c>
      <c r="D36" s="45">
        <f>IF(24&lt;=SSY_mat,(B36+C36)*SSY_rate,"")</f>
        <v/>
      </c>
      <c r="E36" s="45">
        <f>IF(24&lt;=SSY_mat,B36+C36+D36,"")</f>
        <v/>
      </c>
    </row>
    <row r="37" ht="15" customHeight="1" s="26">
      <c r="A37" s="42">
        <f>IF(25&lt;=SSY_mat,25,"")</f>
        <v/>
      </c>
      <c r="B37" s="43">
        <f>IF(25&lt;=SSY_mat,E36,"")</f>
        <v/>
      </c>
      <c r="C37" s="43">
        <f>IF(25&lt;=SSY_mat,IF(25&lt;=SSY_dep,SSY_amt,0),"")</f>
        <v/>
      </c>
      <c r="D37" s="43">
        <f>IF(25&lt;=SSY_mat,(B37+C37)*SSY_rate,"")</f>
        <v/>
      </c>
      <c r="E37" s="43">
        <f>IF(25&lt;=SSY_mat,B37+C37+D37,"")</f>
        <v/>
      </c>
    </row>
    <row r="38" ht="15" customHeight="1" s="26">
      <c r="A38" s="44">
        <f>IF(26&lt;=SSY_mat,26,"")</f>
        <v/>
      </c>
      <c r="B38" s="45">
        <f>IF(26&lt;=SSY_mat,E37,"")</f>
        <v/>
      </c>
      <c r="C38" s="45">
        <f>IF(26&lt;=SSY_mat,IF(26&lt;=SSY_dep,SSY_amt,0),"")</f>
        <v/>
      </c>
      <c r="D38" s="45">
        <f>IF(26&lt;=SSY_mat,(B38+C38)*SSY_rate,"")</f>
        <v/>
      </c>
      <c r="E38" s="45">
        <f>IF(26&lt;=SSY_mat,B38+C38+D38,"")</f>
        <v/>
      </c>
    </row>
    <row r="39" ht="15" customHeight="1" s="26">
      <c r="A39" s="42">
        <f>IF(27&lt;=SSY_mat,27,"")</f>
        <v/>
      </c>
      <c r="B39" s="43">
        <f>IF(27&lt;=SSY_mat,E38,"")</f>
        <v/>
      </c>
      <c r="C39" s="43">
        <f>IF(27&lt;=SSY_mat,IF(27&lt;=SSY_dep,SSY_amt,0),"")</f>
        <v/>
      </c>
      <c r="D39" s="43">
        <f>IF(27&lt;=SSY_mat,(B39+C39)*SSY_rate,"")</f>
        <v/>
      </c>
      <c r="E39" s="43">
        <f>IF(27&lt;=SSY_mat,B39+C39+D39,"")</f>
        <v/>
      </c>
    </row>
    <row r="40" ht="15" customHeight="1" s="26">
      <c r="A40" s="44">
        <f>IF(28&lt;=SSY_mat,28,"")</f>
        <v/>
      </c>
      <c r="B40" s="45">
        <f>IF(28&lt;=SSY_mat,E39,"")</f>
        <v/>
      </c>
      <c r="C40" s="45">
        <f>IF(28&lt;=SSY_mat,IF(28&lt;=SSY_dep,SSY_amt,0),"")</f>
        <v/>
      </c>
      <c r="D40" s="45">
        <f>IF(28&lt;=SSY_mat,(B40+C40)*SSY_rate,"")</f>
        <v/>
      </c>
      <c r="E40" s="45">
        <f>IF(28&lt;=SSY_mat,B40+C40+D40,"")</f>
        <v/>
      </c>
    </row>
    <row r="41" ht="15" customHeight="1" s="26">
      <c r="A41" s="42">
        <f>IF(29&lt;=SSY_mat,29,"")</f>
        <v/>
      </c>
      <c r="B41" s="43">
        <f>IF(29&lt;=SSY_mat,E40,"")</f>
        <v/>
      </c>
      <c r="C41" s="43">
        <f>IF(29&lt;=SSY_mat,IF(29&lt;=SSY_dep,SSY_amt,0),"")</f>
        <v/>
      </c>
      <c r="D41" s="43">
        <f>IF(29&lt;=SSY_mat,(B41+C41)*SSY_rate,"")</f>
        <v/>
      </c>
      <c r="E41" s="43">
        <f>IF(29&lt;=SSY_mat,B41+C41+D41,"")</f>
        <v/>
      </c>
    </row>
    <row r="42" ht="15" customHeight="1" s="26">
      <c r="A42" s="44">
        <f>IF(30&lt;=SSY_mat,30,"")</f>
        <v/>
      </c>
      <c r="B42" s="45">
        <f>IF(30&lt;=SSY_mat,E41,"")</f>
        <v/>
      </c>
      <c r="C42" s="45">
        <f>IF(30&lt;=SSY_mat,IF(30&lt;=SSY_dep,SSY_amt,0),"")</f>
        <v/>
      </c>
      <c r="D42" s="45">
        <f>IF(30&lt;=SSY_mat,(B42+C42)*SSY_rate,"")</f>
        <v/>
      </c>
      <c r="E42" s="45">
        <f>IF(30&lt;=SSY_mat,B42+C42+D42,"")</f>
        <v/>
      </c>
    </row>
    <row r="43"/>
    <row r="44" ht="15" customHeight="1" s="26">
      <c r="B44" s="46" t="inlineStr">
        <is>
          <t>Total invested</t>
        </is>
      </c>
      <c r="C44" s="47">
        <f>SUMIF(A13:A42,"&lt;="&amp;SSY_mat,C13:C42)</f>
        <v/>
      </c>
    </row>
    <row r="45" ht="15" customHeight="1" s="26">
      <c r="B45" s="46" t="inlineStr">
        <is>
          <t>Total interest earned</t>
        </is>
      </c>
      <c r="C45" s="47">
        <f>INDEX(E13:E42,SSY_mat)-SUMIF(A13:A42,"&lt;="&amp;SSY_mat,C13:C42)</f>
        <v/>
      </c>
    </row>
    <row r="46" ht="15" customHeight="1" s="26">
      <c r="B46" s="48" t="inlineStr">
        <is>
          <t>Maturity value</t>
        </is>
      </c>
      <c r="C46" s="49">
        <f>INDEX(E13:E42,SSY_mat)</f>
        <v/>
      </c>
    </row>
    <row r="47"/>
    <row r="48" ht="15" customHeight="1" s="26">
      <c r="A48" s="35" t="inlineStr">
        <is>
          <t>Prepared by CA Tirumalesh Malla  |  calcguru.in  |  Free CA working files &amp; calculators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4">
    <mergeCell ref="A48:G48"/>
    <mergeCell ref="A3:G3"/>
    <mergeCell ref="A2:G2"/>
    <mergeCell ref="A1:G1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G48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0" ySplit="12" topLeftCell="A13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8" customWidth="1" style="25" min="1" max="1"/>
    <col width="20" customWidth="1" style="25" min="2" max="2"/>
    <col width="15" customWidth="1" style="25" min="3" max="7"/>
  </cols>
  <sheetData>
    <row r="1" ht="27.75" customHeight="1" s="26">
      <c r="A1" s="27" t="inlineStr">
        <is>
          <t>CalcGuru</t>
        </is>
      </c>
    </row>
    <row r="2" ht="19.5" customHeight="1" s="26">
      <c r="A2" s="28" t="inlineStr">
        <is>
          <t>SSY Calculator (Monthly Deposit)</t>
        </is>
      </c>
    </row>
    <row r="3" ht="15.75" customHeight="1" s="26">
      <c r="A3" s="29" t="inlineStr">
        <is>
          <t>Equal monthly deposits on/before the 5th - exact min-balance interest</t>
        </is>
      </c>
    </row>
    <row r="4"/>
    <row r="5" ht="15" customHeight="1" s="26">
      <c r="B5" s="30" t="inlineStr">
        <is>
          <t>Inputs</t>
        </is>
      </c>
    </row>
    <row r="6" ht="17.9" customHeight="1" s="26">
      <c r="B6" s="36" t="inlineStr">
        <is>
          <t>Monthly deposit (Rs)</t>
        </is>
      </c>
      <c r="C6" s="37" t="n">
        <v>12500</v>
      </c>
      <c r="E6" s="38" t="inlineStr">
        <is>
          <t>&lt;- Rs 12,500 x 12 = Rs 1.5L/yr (max)</t>
        </is>
      </c>
    </row>
    <row r="7" ht="17.9" customHeight="1" s="26">
      <c r="B7" s="36" t="inlineStr">
        <is>
          <t>Interest rate (p.a.)</t>
        </is>
      </c>
      <c r="C7" s="39" t="n">
        <v>0.082</v>
      </c>
      <c r="E7" s="38" t="inlineStr">
        <is>
          <t>&lt;- editable if MoF revises</t>
        </is>
      </c>
    </row>
    <row r="8" ht="17.9" customHeight="1" s="26">
      <c r="B8" s="36" t="inlineStr">
        <is>
          <t>Deposit years</t>
        </is>
      </c>
      <c r="C8" s="40" t="n">
        <v>15</v>
      </c>
      <c r="E8" s="38" t="inlineStr">
        <is>
          <t>&lt;- deposits for these many years</t>
        </is>
      </c>
    </row>
    <row r="9" ht="17.9" customHeight="1" s="26">
      <c r="B9" s="36" t="inlineStr">
        <is>
          <t>Maturity (years)</t>
        </is>
      </c>
      <c r="C9" s="40" t="n">
        <v>21</v>
      </c>
      <c r="E9" s="38" t="inlineStr">
        <is>
          <t>&lt;- matures; interest runs till here</t>
        </is>
      </c>
    </row>
    <row r="10"/>
    <row r="11" ht="15" customHeight="1" s="26">
      <c r="B11" s="50" t="inlineStr">
        <is>
          <t>Year-wise passbook (deposit-year interest = opening*r + monthly*r*78/12)</t>
        </is>
      </c>
    </row>
    <row r="12" ht="15" customHeight="1" s="26">
      <c r="A12" s="41" t="inlineStr">
        <is>
          <t>Year</t>
        </is>
      </c>
      <c r="B12" s="41" t="inlineStr">
        <is>
          <t>Opening Balance</t>
        </is>
      </c>
      <c r="C12" s="41" t="inlineStr">
        <is>
          <t>Deposits</t>
        </is>
      </c>
      <c r="D12" s="41" t="inlineStr">
        <is>
          <t>Interest</t>
        </is>
      </c>
      <c r="E12" s="41" t="inlineStr">
        <is>
          <t>Closing Balance</t>
        </is>
      </c>
    </row>
    <row r="13" ht="15" customHeight="1" s="26">
      <c r="A13" s="42">
        <f>IF(1&lt;=SM_mat,1,"")</f>
        <v/>
      </c>
      <c r="B13" s="43">
        <f>IF(1&lt;=SM_mat,0,"")</f>
        <v/>
      </c>
      <c r="C13" s="43">
        <f>IF(1&lt;=SM_mat,IF(1&lt;=SM_dep,SM_amt*12,0),"")</f>
        <v/>
      </c>
      <c r="D13" s="43">
        <f>IF(1&lt;=SM_mat,IF(1&lt;=SM_dep,B13*SM_rate+SM_amt*SM_rate*78/12,B13*SM_rate),"")</f>
        <v/>
      </c>
      <c r="E13" s="43">
        <f>IF(1&lt;=SM_mat,B13+C13+D13,"")</f>
        <v/>
      </c>
    </row>
    <row r="14" ht="15" customHeight="1" s="26">
      <c r="A14" s="44">
        <f>IF(2&lt;=SM_mat,2,"")</f>
        <v/>
      </c>
      <c r="B14" s="45">
        <f>IF(2&lt;=SM_mat,E13,"")</f>
        <v/>
      </c>
      <c r="C14" s="45">
        <f>IF(2&lt;=SM_mat,IF(2&lt;=SM_dep,SM_amt*12,0),"")</f>
        <v/>
      </c>
      <c r="D14" s="45">
        <f>IF(2&lt;=SM_mat,IF(2&lt;=SM_dep,B14*SM_rate+SM_amt*SM_rate*78/12,B14*SM_rate),"")</f>
        <v/>
      </c>
      <c r="E14" s="45">
        <f>IF(2&lt;=SM_mat,B14+C14+D14,"")</f>
        <v/>
      </c>
    </row>
    <row r="15" ht="15" customHeight="1" s="26">
      <c r="A15" s="42">
        <f>IF(3&lt;=SM_mat,3,"")</f>
        <v/>
      </c>
      <c r="B15" s="43">
        <f>IF(3&lt;=SM_mat,E14,"")</f>
        <v/>
      </c>
      <c r="C15" s="43">
        <f>IF(3&lt;=SM_mat,IF(3&lt;=SM_dep,SM_amt*12,0),"")</f>
        <v/>
      </c>
      <c r="D15" s="43">
        <f>IF(3&lt;=SM_mat,IF(3&lt;=SM_dep,B15*SM_rate+SM_amt*SM_rate*78/12,B15*SM_rate),"")</f>
        <v/>
      </c>
      <c r="E15" s="43">
        <f>IF(3&lt;=SM_mat,B15+C15+D15,"")</f>
        <v/>
      </c>
    </row>
    <row r="16" ht="15" customHeight="1" s="26">
      <c r="A16" s="44">
        <f>IF(4&lt;=SM_mat,4,"")</f>
        <v/>
      </c>
      <c r="B16" s="45">
        <f>IF(4&lt;=SM_mat,E15,"")</f>
        <v/>
      </c>
      <c r="C16" s="45">
        <f>IF(4&lt;=SM_mat,IF(4&lt;=SM_dep,SM_amt*12,0),"")</f>
        <v/>
      </c>
      <c r="D16" s="45">
        <f>IF(4&lt;=SM_mat,IF(4&lt;=SM_dep,B16*SM_rate+SM_amt*SM_rate*78/12,B16*SM_rate),"")</f>
        <v/>
      </c>
      <c r="E16" s="45">
        <f>IF(4&lt;=SM_mat,B16+C16+D16,"")</f>
        <v/>
      </c>
    </row>
    <row r="17" ht="15" customHeight="1" s="26">
      <c r="A17" s="42">
        <f>IF(5&lt;=SM_mat,5,"")</f>
        <v/>
      </c>
      <c r="B17" s="43">
        <f>IF(5&lt;=SM_mat,E16,"")</f>
        <v/>
      </c>
      <c r="C17" s="43">
        <f>IF(5&lt;=SM_mat,IF(5&lt;=SM_dep,SM_amt*12,0),"")</f>
        <v/>
      </c>
      <c r="D17" s="43">
        <f>IF(5&lt;=SM_mat,IF(5&lt;=SM_dep,B17*SM_rate+SM_amt*SM_rate*78/12,B17*SM_rate),"")</f>
        <v/>
      </c>
      <c r="E17" s="43">
        <f>IF(5&lt;=SM_mat,B17+C17+D17,"")</f>
        <v/>
      </c>
    </row>
    <row r="18" ht="15" customHeight="1" s="26">
      <c r="A18" s="44">
        <f>IF(6&lt;=SM_mat,6,"")</f>
        <v/>
      </c>
      <c r="B18" s="45">
        <f>IF(6&lt;=SM_mat,E17,"")</f>
        <v/>
      </c>
      <c r="C18" s="45">
        <f>IF(6&lt;=SM_mat,IF(6&lt;=SM_dep,SM_amt*12,0),"")</f>
        <v/>
      </c>
      <c r="D18" s="45">
        <f>IF(6&lt;=SM_mat,IF(6&lt;=SM_dep,B18*SM_rate+SM_amt*SM_rate*78/12,B18*SM_rate),"")</f>
        <v/>
      </c>
      <c r="E18" s="45">
        <f>IF(6&lt;=SM_mat,B18+C18+D18,"")</f>
        <v/>
      </c>
    </row>
    <row r="19" ht="15" customHeight="1" s="26">
      <c r="A19" s="42">
        <f>IF(7&lt;=SM_mat,7,"")</f>
        <v/>
      </c>
      <c r="B19" s="43">
        <f>IF(7&lt;=SM_mat,E18,"")</f>
        <v/>
      </c>
      <c r="C19" s="43">
        <f>IF(7&lt;=SM_mat,IF(7&lt;=SM_dep,SM_amt*12,0),"")</f>
        <v/>
      </c>
      <c r="D19" s="43">
        <f>IF(7&lt;=SM_mat,IF(7&lt;=SM_dep,B19*SM_rate+SM_amt*SM_rate*78/12,B19*SM_rate),"")</f>
        <v/>
      </c>
      <c r="E19" s="43">
        <f>IF(7&lt;=SM_mat,B19+C19+D19,"")</f>
        <v/>
      </c>
    </row>
    <row r="20" ht="15" customHeight="1" s="26">
      <c r="A20" s="44">
        <f>IF(8&lt;=SM_mat,8,"")</f>
        <v/>
      </c>
      <c r="B20" s="45">
        <f>IF(8&lt;=SM_mat,E19,"")</f>
        <v/>
      </c>
      <c r="C20" s="45">
        <f>IF(8&lt;=SM_mat,IF(8&lt;=SM_dep,SM_amt*12,0),"")</f>
        <v/>
      </c>
      <c r="D20" s="45">
        <f>IF(8&lt;=SM_mat,IF(8&lt;=SM_dep,B20*SM_rate+SM_amt*SM_rate*78/12,B20*SM_rate),"")</f>
        <v/>
      </c>
      <c r="E20" s="45">
        <f>IF(8&lt;=SM_mat,B20+C20+D20,"")</f>
        <v/>
      </c>
    </row>
    <row r="21" ht="15" customHeight="1" s="26">
      <c r="A21" s="42">
        <f>IF(9&lt;=SM_mat,9,"")</f>
        <v/>
      </c>
      <c r="B21" s="43">
        <f>IF(9&lt;=SM_mat,E20,"")</f>
        <v/>
      </c>
      <c r="C21" s="43">
        <f>IF(9&lt;=SM_mat,IF(9&lt;=SM_dep,SM_amt*12,0),"")</f>
        <v/>
      </c>
      <c r="D21" s="43">
        <f>IF(9&lt;=SM_mat,IF(9&lt;=SM_dep,B21*SM_rate+SM_amt*SM_rate*78/12,B21*SM_rate),"")</f>
        <v/>
      </c>
      <c r="E21" s="43">
        <f>IF(9&lt;=SM_mat,B21+C21+D21,"")</f>
        <v/>
      </c>
    </row>
    <row r="22" ht="15" customHeight="1" s="26">
      <c r="A22" s="44">
        <f>IF(10&lt;=SM_mat,10,"")</f>
        <v/>
      </c>
      <c r="B22" s="45">
        <f>IF(10&lt;=SM_mat,E21,"")</f>
        <v/>
      </c>
      <c r="C22" s="45">
        <f>IF(10&lt;=SM_mat,IF(10&lt;=SM_dep,SM_amt*12,0),"")</f>
        <v/>
      </c>
      <c r="D22" s="45">
        <f>IF(10&lt;=SM_mat,IF(10&lt;=SM_dep,B22*SM_rate+SM_amt*SM_rate*78/12,B22*SM_rate),"")</f>
        <v/>
      </c>
      <c r="E22" s="45">
        <f>IF(10&lt;=SM_mat,B22+C22+D22,"")</f>
        <v/>
      </c>
    </row>
    <row r="23" ht="15" customHeight="1" s="26">
      <c r="A23" s="42">
        <f>IF(11&lt;=SM_mat,11,"")</f>
        <v/>
      </c>
      <c r="B23" s="43">
        <f>IF(11&lt;=SM_mat,E22,"")</f>
        <v/>
      </c>
      <c r="C23" s="43">
        <f>IF(11&lt;=SM_mat,IF(11&lt;=SM_dep,SM_amt*12,0),"")</f>
        <v/>
      </c>
      <c r="D23" s="43">
        <f>IF(11&lt;=SM_mat,IF(11&lt;=SM_dep,B23*SM_rate+SM_amt*SM_rate*78/12,B23*SM_rate),"")</f>
        <v/>
      </c>
      <c r="E23" s="43">
        <f>IF(11&lt;=SM_mat,B23+C23+D23,"")</f>
        <v/>
      </c>
    </row>
    <row r="24" ht="15" customHeight="1" s="26">
      <c r="A24" s="44">
        <f>IF(12&lt;=SM_mat,12,"")</f>
        <v/>
      </c>
      <c r="B24" s="45">
        <f>IF(12&lt;=SM_mat,E23,"")</f>
        <v/>
      </c>
      <c r="C24" s="45">
        <f>IF(12&lt;=SM_mat,IF(12&lt;=SM_dep,SM_amt*12,0),"")</f>
        <v/>
      </c>
      <c r="D24" s="45">
        <f>IF(12&lt;=SM_mat,IF(12&lt;=SM_dep,B24*SM_rate+SM_amt*SM_rate*78/12,B24*SM_rate),"")</f>
        <v/>
      </c>
      <c r="E24" s="45">
        <f>IF(12&lt;=SM_mat,B24+C24+D24,"")</f>
        <v/>
      </c>
    </row>
    <row r="25" ht="15" customHeight="1" s="26">
      <c r="A25" s="42">
        <f>IF(13&lt;=SM_mat,13,"")</f>
        <v/>
      </c>
      <c r="B25" s="43">
        <f>IF(13&lt;=SM_mat,E24,"")</f>
        <v/>
      </c>
      <c r="C25" s="43">
        <f>IF(13&lt;=SM_mat,IF(13&lt;=SM_dep,SM_amt*12,0),"")</f>
        <v/>
      </c>
      <c r="D25" s="43">
        <f>IF(13&lt;=SM_mat,IF(13&lt;=SM_dep,B25*SM_rate+SM_amt*SM_rate*78/12,B25*SM_rate),"")</f>
        <v/>
      </c>
      <c r="E25" s="43">
        <f>IF(13&lt;=SM_mat,B25+C25+D25,"")</f>
        <v/>
      </c>
    </row>
    <row r="26" ht="15" customHeight="1" s="26">
      <c r="A26" s="44">
        <f>IF(14&lt;=SM_mat,14,"")</f>
        <v/>
      </c>
      <c r="B26" s="45">
        <f>IF(14&lt;=SM_mat,E25,"")</f>
        <v/>
      </c>
      <c r="C26" s="45">
        <f>IF(14&lt;=SM_mat,IF(14&lt;=SM_dep,SM_amt*12,0),"")</f>
        <v/>
      </c>
      <c r="D26" s="45">
        <f>IF(14&lt;=SM_mat,IF(14&lt;=SM_dep,B26*SM_rate+SM_amt*SM_rate*78/12,B26*SM_rate),"")</f>
        <v/>
      </c>
      <c r="E26" s="45">
        <f>IF(14&lt;=SM_mat,B26+C26+D26,"")</f>
        <v/>
      </c>
    </row>
    <row r="27" ht="15" customHeight="1" s="26">
      <c r="A27" s="42">
        <f>IF(15&lt;=SM_mat,15,"")</f>
        <v/>
      </c>
      <c r="B27" s="43">
        <f>IF(15&lt;=SM_mat,E26,"")</f>
        <v/>
      </c>
      <c r="C27" s="43">
        <f>IF(15&lt;=SM_mat,IF(15&lt;=SM_dep,SM_amt*12,0),"")</f>
        <v/>
      </c>
      <c r="D27" s="43">
        <f>IF(15&lt;=SM_mat,IF(15&lt;=SM_dep,B27*SM_rate+SM_amt*SM_rate*78/12,B27*SM_rate),"")</f>
        <v/>
      </c>
      <c r="E27" s="43">
        <f>IF(15&lt;=SM_mat,B27+C27+D27,"")</f>
        <v/>
      </c>
    </row>
    <row r="28" ht="15" customHeight="1" s="26">
      <c r="A28" s="44">
        <f>IF(16&lt;=SM_mat,16,"")</f>
        <v/>
      </c>
      <c r="B28" s="45">
        <f>IF(16&lt;=SM_mat,E27,"")</f>
        <v/>
      </c>
      <c r="C28" s="45">
        <f>IF(16&lt;=SM_mat,IF(16&lt;=SM_dep,SM_amt*12,0),"")</f>
        <v/>
      </c>
      <c r="D28" s="45">
        <f>IF(16&lt;=SM_mat,IF(16&lt;=SM_dep,B28*SM_rate+SM_amt*SM_rate*78/12,B28*SM_rate),"")</f>
        <v/>
      </c>
      <c r="E28" s="45">
        <f>IF(16&lt;=SM_mat,B28+C28+D28,"")</f>
        <v/>
      </c>
    </row>
    <row r="29" ht="15" customHeight="1" s="26">
      <c r="A29" s="42">
        <f>IF(17&lt;=SM_mat,17,"")</f>
        <v/>
      </c>
      <c r="B29" s="43">
        <f>IF(17&lt;=SM_mat,E28,"")</f>
        <v/>
      </c>
      <c r="C29" s="43">
        <f>IF(17&lt;=SM_mat,IF(17&lt;=SM_dep,SM_amt*12,0),"")</f>
        <v/>
      </c>
      <c r="D29" s="43">
        <f>IF(17&lt;=SM_mat,IF(17&lt;=SM_dep,B29*SM_rate+SM_amt*SM_rate*78/12,B29*SM_rate),"")</f>
        <v/>
      </c>
      <c r="E29" s="43">
        <f>IF(17&lt;=SM_mat,B29+C29+D29,"")</f>
        <v/>
      </c>
    </row>
    <row r="30" ht="15" customHeight="1" s="26">
      <c r="A30" s="44">
        <f>IF(18&lt;=SM_mat,18,"")</f>
        <v/>
      </c>
      <c r="B30" s="45">
        <f>IF(18&lt;=SM_mat,E29,"")</f>
        <v/>
      </c>
      <c r="C30" s="45">
        <f>IF(18&lt;=SM_mat,IF(18&lt;=SM_dep,SM_amt*12,0),"")</f>
        <v/>
      </c>
      <c r="D30" s="45">
        <f>IF(18&lt;=SM_mat,IF(18&lt;=SM_dep,B30*SM_rate+SM_amt*SM_rate*78/12,B30*SM_rate),"")</f>
        <v/>
      </c>
      <c r="E30" s="45">
        <f>IF(18&lt;=SM_mat,B30+C30+D30,"")</f>
        <v/>
      </c>
    </row>
    <row r="31" ht="15" customHeight="1" s="26">
      <c r="A31" s="42">
        <f>IF(19&lt;=SM_mat,19,"")</f>
        <v/>
      </c>
      <c r="B31" s="43">
        <f>IF(19&lt;=SM_mat,E30,"")</f>
        <v/>
      </c>
      <c r="C31" s="43">
        <f>IF(19&lt;=SM_mat,IF(19&lt;=SM_dep,SM_amt*12,0),"")</f>
        <v/>
      </c>
      <c r="D31" s="43">
        <f>IF(19&lt;=SM_mat,IF(19&lt;=SM_dep,B31*SM_rate+SM_amt*SM_rate*78/12,B31*SM_rate),"")</f>
        <v/>
      </c>
      <c r="E31" s="43">
        <f>IF(19&lt;=SM_mat,B31+C31+D31,"")</f>
        <v/>
      </c>
    </row>
    <row r="32" ht="15" customHeight="1" s="26">
      <c r="A32" s="44">
        <f>IF(20&lt;=SM_mat,20,"")</f>
        <v/>
      </c>
      <c r="B32" s="45">
        <f>IF(20&lt;=SM_mat,E31,"")</f>
        <v/>
      </c>
      <c r="C32" s="45">
        <f>IF(20&lt;=SM_mat,IF(20&lt;=SM_dep,SM_amt*12,0),"")</f>
        <v/>
      </c>
      <c r="D32" s="45">
        <f>IF(20&lt;=SM_mat,IF(20&lt;=SM_dep,B32*SM_rate+SM_amt*SM_rate*78/12,B32*SM_rate),"")</f>
        <v/>
      </c>
      <c r="E32" s="45">
        <f>IF(20&lt;=SM_mat,B32+C32+D32,"")</f>
        <v/>
      </c>
    </row>
    <row r="33" ht="15" customHeight="1" s="26">
      <c r="A33" s="42">
        <f>IF(21&lt;=SM_mat,21,"")</f>
        <v/>
      </c>
      <c r="B33" s="43">
        <f>IF(21&lt;=SM_mat,E32,"")</f>
        <v/>
      </c>
      <c r="C33" s="43">
        <f>IF(21&lt;=SM_mat,IF(21&lt;=SM_dep,SM_amt*12,0),"")</f>
        <v/>
      </c>
      <c r="D33" s="43">
        <f>IF(21&lt;=SM_mat,IF(21&lt;=SM_dep,B33*SM_rate+SM_amt*SM_rate*78/12,B33*SM_rate),"")</f>
        <v/>
      </c>
      <c r="E33" s="43">
        <f>IF(21&lt;=SM_mat,B33+C33+D33,"")</f>
        <v/>
      </c>
    </row>
    <row r="34" ht="15" customHeight="1" s="26">
      <c r="A34" s="44">
        <f>IF(22&lt;=SM_mat,22,"")</f>
        <v/>
      </c>
      <c r="B34" s="45">
        <f>IF(22&lt;=SM_mat,E33,"")</f>
        <v/>
      </c>
      <c r="C34" s="45">
        <f>IF(22&lt;=SM_mat,IF(22&lt;=SM_dep,SM_amt*12,0),"")</f>
        <v/>
      </c>
      <c r="D34" s="45">
        <f>IF(22&lt;=SM_mat,IF(22&lt;=SM_dep,B34*SM_rate+SM_amt*SM_rate*78/12,B34*SM_rate),"")</f>
        <v/>
      </c>
      <c r="E34" s="45">
        <f>IF(22&lt;=SM_mat,B34+C34+D34,"")</f>
        <v/>
      </c>
    </row>
    <row r="35" ht="15" customHeight="1" s="26">
      <c r="A35" s="42">
        <f>IF(23&lt;=SM_mat,23,"")</f>
        <v/>
      </c>
      <c r="B35" s="43">
        <f>IF(23&lt;=SM_mat,E34,"")</f>
        <v/>
      </c>
      <c r="C35" s="43">
        <f>IF(23&lt;=SM_mat,IF(23&lt;=SM_dep,SM_amt*12,0),"")</f>
        <v/>
      </c>
      <c r="D35" s="43">
        <f>IF(23&lt;=SM_mat,IF(23&lt;=SM_dep,B35*SM_rate+SM_amt*SM_rate*78/12,B35*SM_rate),"")</f>
        <v/>
      </c>
      <c r="E35" s="43">
        <f>IF(23&lt;=SM_mat,B35+C35+D35,"")</f>
        <v/>
      </c>
    </row>
    <row r="36" ht="15" customHeight="1" s="26">
      <c r="A36" s="44">
        <f>IF(24&lt;=SM_mat,24,"")</f>
        <v/>
      </c>
      <c r="B36" s="45">
        <f>IF(24&lt;=SM_mat,E35,"")</f>
        <v/>
      </c>
      <c r="C36" s="45">
        <f>IF(24&lt;=SM_mat,IF(24&lt;=SM_dep,SM_amt*12,0),"")</f>
        <v/>
      </c>
      <c r="D36" s="45">
        <f>IF(24&lt;=SM_mat,IF(24&lt;=SM_dep,B36*SM_rate+SM_amt*SM_rate*78/12,B36*SM_rate),"")</f>
        <v/>
      </c>
      <c r="E36" s="45">
        <f>IF(24&lt;=SM_mat,B36+C36+D36,"")</f>
        <v/>
      </c>
    </row>
    <row r="37" ht="15" customHeight="1" s="26">
      <c r="A37" s="42">
        <f>IF(25&lt;=SM_mat,25,"")</f>
        <v/>
      </c>
      <c r="B37" s="43">
        <f>IF(25&lt;=SM_mat,E36,"")</f>
        <v/>
      </c>
      <c r="C37" s="43">
        <f>IF(25&lt;=SM_mat,IF(25&lt;=SM_dep,SM_amt*12,0),"")</f>
        <v/>
      </c>
      <c r="D37" s="43">
        <f>IF(25&lt;=SM_mat,IF(25&lt;=SM_dep,B37*SM_rate+SM_amt*SM_rate*78/12,B37*SM_rate),"")</f>
        <v/>
      </c>
      <c r="E37" s="43">
        <f>IF(25&lt;=SM_mat,B37+C37+D37,"")</f>
        <v/>
      </c>
    </row>
    <row r="38" ht="15" customHeight="1" s="26">
      <c r="A38" s="44">
        <f>IF(26&lt;=SM_mat,26,"")</f>
        <v/>
      </c>
      <c r="B38" s="45">
        <f>IF(26&lt;=SM_mat,E37,"")</f>
        <v/>
      </c>
      <c r="C38" s="45">
        <f>IF(26&lt;=SM_mat,IF(26&lt;=SM_dep,SM_amt*12,0),"")</f>
        <v/>
      </c>
      <c r="D38" s="45">
        <f>IF(26&lt;=SM_mat,IF(26&lt;=SM_dep,B38*SM_rate+SM_amt*SM_rate*78/12,B38*SM_rate),"")</f>
        <v/>
      </c>
      <c r="E38" s="45">
        <f>IF(26&lt;=SM_mat,B38+C38+D38,"")</f>
        <v/>
      </c>
    </row>
    <row r="39" ht="15" customHeight="1" s="26">
      <c r="A39" s="42">
        <f>IF(27&lt;=SM_mat,27,"")</f>
        <v/>
      </c>
      <c r="B39" s="43">
        <f>IF(27&lt;=SM_mat,E38,"")</f>
        <v/>
      </c>
      <c r="C39" s="43">
        <f>IF(27&lt;=SM_mat,IF(27&lt;=SM_dep,SM_amt*12,0),"")</f>
        <v/>
      </c>
      <c r="D39" s="43">
        <f>IF(27&lt;=SM_mat,IF(27&lt;=SM_dep,B39*SM_rate+SM_amt*SM_rate*78/12,B39*SM_rate),"")</f>
        <v/>
      </c>
      <c r="E39" s="43">
        <f>IF(27&lt;=SM_mat,B39+C39+D39,"")</f>
        <v/>
      </c>
    </row>
    <row r="40" ht="15" customHeight="1" s="26">
      <c r="A40" s="44">
        <f>IF(28&lt;=SM_mat,28,"")</f>
        <v/>
      </c>
      <c r="B40" s="45">
        <f>IF(28&lt;=SM_mat,E39,"")</f>
        <v/>
      </c>
      <c r="C40" s="45">
        <f>IF(28&lt;=SM_mat,IF(28&lt;=SM_dep,SM_amt*12,0),"")</f>
        <v/>
      </c>
      <c r="D40" s="45">
        <f>IF(28&lt;=SM_mat,IF(28&lt;=SM_dep,B40*SM_rate+SM_amt*SM_rate*78/12,B40*SM_rate),"")</f>
        <v/>
      </c>
      <c r="E40" s="45">
        <f>IF(28&lt;=SM_mat,B40+C40+D40,"")</f>
        <v/>
      </c>
    </row>
    <row r="41" ht="15" customHeight="1" s="26">
      <c r="A41" s="42">
        <f>IF(29&lt;=SM_mat,29,"")</f>
        <v/>
      </c>
      <c r="B41" s="43">
        <f>IF(29&lt;=SM_mat,E40,"")</f>
        <v/>
      </c>
      <c r="C41" s="43">
        <f>IF(29&lt;=SM_mat,IF(29&lt;=SM_dep,SM_amt*12,0),"")</f>
        <v/>
      </c>
      <c r="D41" s="43">
        <f>IF(29&lt;=SM_mat,IF(29&lt;=SM_dep,B41*SM_rate+SM_amt*SM_rate*78/12,B41*SM_rate),"")</f>
        <v/>
      </c>
      <c r="E41" s="43">
        <f>IF(29&lt;=SM_mat,B41+C41+D41,"")</f>
        <v/>
      </c>
    </row>
    <row r="42" ht="15" customHeight="1" s="26">
      <c r="A42" s="44">
        <f>IF(30&lt;=SM_mat,30,"")</f>
        <v/>
      </c>
      <c r="B42" s="45">
        <f>IF(30&lt;=SM_mat,E41,"")</f>
        <v/>
      </c>
      <c r="C42" s="45">
        <f>IF(30&lt;=SM_mat,IF(30&lt;=SM_dep,SM_amt*12,0),"")</f>
        <v/>
      </c>
      <c r="D42" s="45">
        <f>IF(30&lt;=SM_mat,IF(30&lt;=SM_dep,B42*SM_rate+SM_amt*SM_rate*78/12,B42*SM_rate),"")</f>
        <v/>
      </c>
      <c r="E42" s="45">
        <f>IF(30&lt;=SM_mat,B42+C42+D42,"")</f>
        <v/>
      </c>
    </row>
    <row r="43"/>
    <row r="44" ht="15" customHeight="1" s="26">
      <c r="B44" s="46" t="inlineStr">
        <is>
          <t>Total invested</t>
        </is>
      </c>
      <c r="C44" s="47">
        <f>SUMIF(A13:A42,"&lt;="&amp;SM_mat,C13:C42)</f>
        <v/>
      </c>
    </row>
    <row r="45" ht="15" customHeight="1" s="26">
      <c r="B45" s="46" t="inlineStr">
        <is>
          <t>Total interest earned</t>
        </is>
      </c>
      <c r="C45" s="47">
        <f>INDEX(E13:E42,SM_mat)-SUMIF(A13:A42,"&lt;="&amp;SM_mat,C13:C42)</f>
        <v/>
      </c>
    </row>
    <row r="46" ht="15" customHeight="1" s="26">
      <c r="B46" s="48" t="inlineStr">
        <is>
          <t>Maturity value</t>
        </is>
      </c>
      <c r="C46" s="49">
        <f>INDEX(E13:E42,SM_mat)</f>
        <v/>
      </c>
    </row>
    <row r="47"/>
    <row r="48" ht="15" customHeight="1" s="26">
      <c r="A48" s="35" t="inlineStr">
        <is>
          <t>Prepared by CA Tirumalesh Malla  |  calcguru.in  |  Free CA working files &amp; calculators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4">
    <mergeCell ref="A48:G48"/>
    <mergeCell ref="A3:G3"/>
    <mergeCell ref="A2:G2"/>
    <mergeCell ref="A1:G1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2026-06-11T07:19:21Z</dcterms:created>
  <dcterms:modified xmlns:dcterms="http://purl.org/dc/terms/" xmlns:xsi="http://www.w3.org/2001/XMLSchema-instance" xsi:type="dcterms:W3CDTF">2026-06-11T07:19:43Z</dcterms:modified>
  <cp:revision>0</cp:revision>
</cp:coreProperties>
</file>