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xmlns:r="http://schemas.openxmlformats.org/officeDocument/2006/relationships" name="Cover" sheetId="1" state="visible" r:id="rId1"/>
    <sheet xmlns:r="http://schemas.openxmlformats.org/officeDocument/2006/relationships" name="PPF Calculator" sheetId="2" state="visible" r:id="rId2"/>
    <sheet xmlns:r="http://schemas.openxmlformats.org/officeDocument/2006/relationships" name="Monthly Deposit" sheetId="3" state="visible" r:id="rId3"/>
  </sheets>
  <definedNames>
    <definedName name="PM_amt" hidden="0" function="0" vbProcedure="0">'Monthly Deposit'!$C$6</definedName>
    <definedName name="PM_rate" hidden="0" function="0" vbProcedure="0">'Monthly Deposit'!$C$7</definedName>
    <definedName name="PM_years" hidden="0" function="0" vbProcedure="0">'Monthly Deposit'!$C$8</definedName>
    <definedName name="PPF_amt" hidden="0" function="0" vbProcedure="0">'PPF Calculator'!$C$6</definedName>
    <definedName name="PPF_rate" hidden="0" function="0" vbProcedure="0">'PPF Calculator'!$C$7</definedName>
    <definedName name="PPF_timing" hidden="0" function="0" vbProcedure="0">'PPF Calculator'!$C$9</definedName>
    <definedName name="PPF_years" hidden="0" function="0" vbProcedure="0">'PPF Calculator'!$C$8</definedName>
  </definedNames>
  <calcPr calcId="124519" fullCalcOnLoad="1" refMode="A1" iterate="0" iterateCount="100" iterateDelta="0.0001"/>
</workbook>
</file>

<file path=xl/styles.xml><?xml version="1.0" encoding="utf-8"?>
<styleSheet xmlns="http://schemas.openxmlformats.org/spreadsheetml/2006/main">
  <numFmts count="1">
    <numFmt numFmtId="164" formatCode="#,##0;[RED]\(#,##0\)"/>
  </numFmts>
  <fonts count="21">
    <font>
      <name val="Calibri"/>
      <charset val="1"/>
      <family val="2"/>
      <color theme="1"/>
      <sz val="11"/>
    </font>
    <font>
      <name val="Arial"/>
      <family val="0"/>
      <sz val="10"/>
    </font>
    <font>
      <name val="Arial"/>
      <family val="0"/>
      <sz val="10"/>
    </font>
    <font>
      <name val="Arial"/>
      <family val="0"/>
      <sz val="10"/>
    </font>
    <font>
      <name val="Calibri"/>
      <charset val="1"/>
      <family val="0"/>
      <b val="1"/>
      <color rgb="FFFFFFFF"/>
      <sz val="20"/>
    </font>
    <font>
      <name val="Calibri"/>
      <charset val="1"/>
      <family val="0"/>
      <b val="1"/>
      <color rgb="FFFFFFFF"/>
      <sz val="14"/>
    </font>
    <font>
      <name val="Calibri"/>
      <charset val="1"/>
      <family val="0"/>
      <i val="1"/>
      <color rgb="FFFFFFFF"/>
      <sz val="10"/>
    </font>
    <font>
      <name val="Calibri"/>
      <charset val="1"/>
      <family val="0"/>
      <b val="1"/>
      <color rgb="FF1E3A8A"/>
      <sz val="11"/>
    </font>
    <font>
      <name val="Calibri"/>
      <charset val="1"/>
      <family val="0"/>
      <b val="1"/>
      <color rgb="FF000000"/>
      <sz val="10"/>
    </font>
    <font>
      <name val="Calibri"/>
      <charset val="1"/>
      <family val="0"/>
      <color rgb="FF334155"/>
      <sz val="9"/>
    </font>
    <font>
      <name val="Calibri"/>
      <charset val="1"/>
      <family val="0"/>
      <i val="1"/>
      <color rgb="FF64748B"/>
      <sz val="8"/>
    </font>
    <font>
      <name val="Calibri"/>
      <charset val="1"/>
      <family val="0"/>
      <color rgb="FFFFFFFF"/>
      <sz val="9"/>
    </font>
    <font>
      <name val="Calibri"/>
      <charset val="1"/>
      <family val="0"/>
      <color rgb="FF000000"/>
      <sz val="10"/>
    </font>
    <font>
      <name val="Calibri"/>
      <charset val="1"/>
      <family val="0"/>
      <b val="1"/>
      <color rgb="FF000000"/>
      <sz val="11"/>
    </font>
    <font>
      <name val="Calibri"/>
      <charset val="1"/>
      <family val="0"/>
      <i val="1"/>
      <color rgb="FFF97316"/>
      <sz val="8"/>
    </font>
    <font>
      <name val="Calibri"/>
      <charset val="1"/>
      <family val="0"/>
      <b val="1"/>
      <color rgb="FFFFFFFF"/>
      <sz val="9"/>
    </font>
    <font>
      <name val="Calibri"/>
      <charset val="1"/>
      <family val="0"/>
      <color rgb="FF000000"/>
      <sz val="9"/>
    </font>
    <font>
      <name val="Calibri"/>
      <charset val="1"/>
      <family val="0"/>
      <b val="1"/>
      <color rgb="FFFFFFFF"/>
      <sz val="12"/>
    </font>
    <font>
      <name val="Calibri"/>
      <charset val="1"/>
      <family val="0"/>
      <b val="1"/>
      <color rgb="FF000000"/>
      <sz val="9"/>
    </font>
    <font>
      <name val="Calibri"/>
      <charset val="1"/>
      <family val="0"/>
      <b val="1"/>
      <color rgb="FF1E3A8A"/>
      <sz val="9"/>
    </font>
    <font>
      <name val="Calibri"/>
      <charset val="1"/>
      <family val="0"/>
      <b val="1"/>
      <color rgb="FF1E3A8A"/>
      <sz val="10"/>
    </font>
  </fonts>
  <fills count="9">
    <fill>
      <patternFill/>
    </fill>
    <fill>
      <patternFill patternType="gray125"/>
    </fill>
    <fill>
      <patternFill patternType="solid">
        <fgColor rgb="FF1E3A8A"/>
        <bgColor rgb="FF2748A8"/>
      </patternFill>
    </fill>
    <fill>
      <patternFill patternType="solid">
        <fgColor rgb="FF2748A8"/>
        <bgColor rgb="FF1E3A8A"/>
      </patternFill>
    </fill>
    <fill>
      <patternFill patternType="solid">
        <fgColor rgb="FFF97316"/>
        <bgColor rgb="FFFF9900"/>
      </patternFill>
    </fill>
    <fill>
      <patternFill patternType="solid">
        <fgColor rgb="FFFFF7CC"/>
        <bgColor rgb="FFF1F5F9"/>
      </patternFill>
    </fill>
    <fill>
      <patternFill patternType="solid">
        <fgColor rgb="FFFFFFFF"/>
        <bgColor rgb="FFF1F5F9"/>
      </patternFill>
    </fill>
    <fill>
      <patternFill patternType="solid">
        <fgColor rgb="FFF1F5F9"/>
        <bgColor rgb="FFFFFFFF"/>
      </patternFill>
    </fill>
    <fill>
      <patternFill patternType="solid">
        <fgColor rgb="FFDCFCE7"/>
        <bgColor rgb="FFCCFFCC"/>
      </patternFill>
    </fill>
  </fills>
  <borders count="3">
    <border>
      <left/>
      <right/>
      <top/>
      <bottom/>
      <diagonal/>
    </border>
    <border>
      <left style="medium">
        <color rgb="FF1E3A8A"/>
      </left>
      <right style="medium">
        <color rgb="FF1E3A8A"/>
      </right>
      <top style="medium">
        <color rgb="FF1E3A8A"/>
      </top>
      <bottom style="medium">
        <color rgb="FF1E3A8A"/>
      </bottom>
      <diagonal/>
    </border>
    <border>
      <left style="thin">
        <color rgb="FFCBD5E1"/>
      </left>
      <right style="thin">
        <color rgb="FFCBD5E1"/>
      </right>
      <top style="thin">
        <color rgb="FFCBD5E1"/>
      </top>
      <bottom style="thin">
        <color rgb="FFCBD5E1"/>
      </bottom>
      <diagonal/>
    </border>
  </borders>
  <cellStyleXfs count="6">
    <xf numFmtId="0" fontId="0" fillId="0" borderId="0" applyAlignment="1">
      <alignment horizontal="general" vertical="bottom"/>
    </xf>
    <xf numFmtId="43" fontId="3" fillId="0" borderId="0"/>
    <xf numFmtId="41" fontId="3" fillId="0" borderId="0"/>
    <xf numFmtId="44" fontId="3" fillId="0" borderId="0"/>
    <xf numFmtId="42" fontId="3" fillId="0" borderId="0"/>
    <xf numFmtId="9" fontId="3" fillId="0" borderId="0"/>
  </cellStyleXfs>
  <cellXfs count="57">
    <xf numFmtId="0" fontId="0" fillId="0" borderId="0" applyAlignment="1" pivotButton="0" quotePrefix="0" xfId="0">
      <alignment horizontal="general" vertical="bottom"/>
    </xf>
    <xf numFmtId="0" fontId="4" fillId="2" borderId="0" applyAlignment="1" pivotButton="0" quotePrefix="0" xfId="0">
      <alignment horizontal="center" vertical="center" wrapText="1"/>
    </xf>
    <xf numFmtId="0" fontId="5" fillId="3" borderId="0" applyAlignment="1" pivotButton="0" quotePrefix="0" xfId="0">
      <alignment horizontal="center" vertical="center" wrapText="1"/>
    </xf>
    <xf numFmtId="0" fontId="6" fillId="4" borderId="0" applyAlignment="1" pivotButton="0" quotePrefix="0" xfId="0">
      <alignment horizontal="center" vertical="center" wrapText="1"/>
    </xf>
    <xf numFmtId="0" fontId="7" fillId="0" borderId="0" applyAlignment="1" pivotButton="0" quotePrefix="0" xfId="0">
      <alignment horizontal="general" vertical="bottom"/>
    </xf>
    <xf numFmtId="0" fontId="8" fillId="0" borderId="0" applyAlignment="1" pivotButton="0" quotePrefix="0" xfId="0">
      <alignment horizontal="left" vertical="center" wrapText="1"/>
    </xf>
    <xf numFmtId="0" fontId="9" fillId="0" borderId="0" applyAlignment="1" pivotButton="0" quotePrefix="0" xfId="0">
      <alignment horizontal="left" vertical="center" wrapText="1"/>
    </xf>
    <xf numFmtId="0" fontId="7" fillId="0" borderId="0" applyAlignment="1" pivotButton="0" quotePrefix="0" xfId="0">
      <alignment horizontal="left" vertical="center" wrapText="1"/>
    </xf>
    <xf numFmtId="0" fontId="10" fillId="0" borderId="0" applyAlignment="1" pivotButton="0" quotePrefix="0" xfId="0">
      <alignment horizontal="left" vertical="center" wrapText="1"/>
    </xf>
    <xf numFmtId="0" fontId="11" fillId="2" borderId="0" applyAlignment="1" pivotButton="0" quotePrefix="0" xfId="0">
      <alignment horizontal="center" vertical="center" wrapText="1"/>
    </xf>
    <xf numFmtId="0" fontId="12" fillId="0" borderId="0" applyAlignment="1" pivotButton="0" quotePrefix="0" xfId="0">
      <alignment horizontal="left" vertical="center" wrapText="1"/>
    </xf>
    <xf numFmtId="164" fontId="13" fillId="5" borderId="1" applyAlignment="1" applyProtection="1" pivotButton="0" quotePrefix="0" xfId="0">
      <alignment horizontal="center" vertical="center" wrapText="1"/>
      <protection locked="0"/>
    </xf>
    <xf numFmtId="0" fontId="14" fillId="0" borderId="0" applyAlignment="1" pivotButton="0" quotePrefix="0" xfId="0">
      <alignment horizontal="left" vertical="center" wrapText="1"/>
    </xf>
    <xf numFmtId="10" fontId="13" fillId="5" borderId="1" applyAlignment="1" applyProtection="1" pivotButton="0" quotePrefix="0" xfId="0">
      <alignment horizontal="center" vertical="center" wrapText="1"/>
      <protection locked="0"/>
    </xf>
    <xf numFmtId="1" fontId="13" fillId="5" borderId="1" applyAlignment="1" applyProtection="1" pivotButton="0" quotePrefix="0" xfId="0">
      <alignment horizontal="center" vertical="center" wrapText="1"/>
      <protection locked="0"/>
    </xf>
    <xf numFmtId="49" fontId="13" fillId="5" borderId="1" applyAlignment="1" applyProtection="1" pivotButton="0" quotePrefix="0" xfId="0">
      <alignment horizontal="center" vertical="center" wrapText="1"/>
      <protection locked="0"/>
    </xf>
    <xf numFmtId="0" fontId="15" fillId="2" borderId="1" applyAlignment="1" pivotButton="0" quotePrefix="0" xfId="0">
      <alignment horizontal="center" vertical="center" wrapText="1"/>
    </xf>
    <xf numFmtId="0" fontId="16" fillId="6" borderId="2" applyAlignment="1" pivotButton="0" quotePrefix="0" xfId="0">
      <alignment horizontal="center" vertical="center" wrapText="1"/>
    </xf>
    <xf numFmtId="164" fontId="16" fillId="6" borderId="2" applyAlignment="1" pivotButton="0" quotePrefix="0" xfId="0">
      <alignment horizontal="right" vertical="center"/>
    </xf>
    <xf numFmtId="0" fontId="16" fillId="7" borderId="2" applyAlignment="1" pivotButton="0" quotePrefix="0" xfId="0">
      <alignment horizontal="center" vertical="center" wrapText="1"/>
    </xf>
    <xf numFmtId="164" fontId="16" fillId="7" borderId="2" applyAlignment="1" pivotButton="0" quotePrefix="0" xfId="0">
      <alignment horizontal="right" vertical="center"/>
    </xf>
    <xf numFmtId="0" fontId="7" fillId="0" borderId="0" applyAlignment="1" pivotButton="0" quotePrefix="0" xfId="0">
      <alignment horizontal="right" vertical="center"/>
    </xf>
    <xf numFmtId="164" fontId="13" fillId="8" borderId="1" applyAlignment="1" pivotButton="0" quotePrefix="0" xfId="0">
      <alignment horizontal="right" vertical="center"/>
    </xf>
    <xf numFmtId="0" fontId="17" fillId="4" borderId="0" applyAlignment="1" pivotButton="0" quotePrefix="0" xfId="0">
      <alignment horizontal="right" vertical="center"/>
    </xf>
    <xf numFmtId="164" fontId="17" fillId="4" borderId="1" applyAlignment="1" pivotButton="0" quotePrefix="0" xfId="0">
      <alignment horizontal="right" vertical="center"/>
    </xf>
    <xf numFmtId="0" fontId="18" fillId="0" borderId="0" applyAlignment="1" pivotButton="0" quotePrefix="0" xfId="0">
      <alignment horizontal="right" vertical="center"/>
    </xf>
    <xf numFmtId="164" fontId="19" fillId="0" borderId="0" applyAlignment="1" pivotButton="0" quotePrefix="0" xfId="0">
      <alignment horizontal="right" vertical="center"/>
    </xf>
    <xf numFmtId="0" fontId="20" fillId="0" borderId="0" applyAlignment="1" pivotButton="0" quotePrefix="0" xfId="0">
      <alignment horizontal="general" vertical="bottom"/>
    </xf>
    <xf numFmtId="0" fontId="0" fillId="0" borderId="0" applyAlignment="1" pivotButton="0" quotePrefix="0" xfId="0">
      <alignment horizontal="general" vertical="bottom"/>
    </xf>
    <xf numFmtId="0" fontId="0" fillId="0" borderId="0" pivotButton="0" quotePrefix="0" xfId="0"/>
    <xf numFmtId="0" fontId="4" fillId="2" borderId="0" applyAlignment="1" pivotButton="0" quotePrefix="0" xfId="0">
      <alignment horizontal="center" vertical="center" wrapText="1"/>
    </xf>
    <xf numFmtId="0" fontId="5" fillId="3" borderId="0" applyAlignment="1" pivotButton="0" quotePrefix="0" xfId="0">
      <alignment horizontal="center" vertical="center" wrapText="1"/>
    </xf>
    <xf numFmtId="0" fontId="6" fillId="4" borderId="0" applyAlignment="1" pivotButton="0" quotePrefix="0" xfId="0">
      <alignment horizontal="center" vertical="center" wrapText="1"/>
    </xf>
    <xf numFmtId="0" fontId="7" fillId="0" borderId="0" applyAlignment="1" pivotButton="0" quotePrefix="0" xfId="0">
      <alignment horizontal="general" vertical="bottom"/>
    </xf>
    <xf numFmtId="0" fontId="8" fillId="0" borderId="0" applyAlignment="1" pivotButton="0" quotePrefix="0" xfId="0">
      <alignment horizontal="left" vertical="center" wrapText="1"/>
    </xf>
    <xf numFmtId="0" fontId="9" fillId="0" borderId="0" applyAlignment="1" pivotButton="0" quotePrefix="0" xfId="0">
      <alignment horizontal="left" vertical="center" wrapText="1"/>
    </xf>
    <xf numFmtId="0" fontId="7" fillId="0" borderId="0" applyAlignment="1" pivotButton="0" quotePrefix="0" xfId="0">
      <alignment horizontal="left" vertical="center" wrapText="1"/>
    </xf>
    <xf numFmtId="0" fontId="10" fillId="0" borderId="0" applyAlignment="1" pivotButton="0" quotePrefix="0" xfId="0">
      <alignment horizontal="left" vertical="center" wrapText="1"/>
    </xf>
    <xf numFmtId="0" fontId="11" fillId="2" borderId="0" applyAlignment="1" pivotButton="0" quotePrefix="0" xfId="0">
      <alignment horizontal="center" vertical="center" wrapText="1"/>
    </xf>
    <xf numFmtId="0" fontId="12" fillId="0" borderId="0" applyAlignment="1" pivotButton="0" quotePrefix="0" xfId="0">
      <alignment horizontal="left" vertical="center" wrapText="1"/>
    </xf>
    <xf numFmtId="164" fontId="13" fillId="5" borderId="1" applyAlignment="1" applyProtection="1" pivotButton="0" quotePrefix="0" xfId="0">
      <alignment horizontal="center" vertical="center" wrapText="1"/>
      <protection locked="0"/>
    </xf>
    <xf numFmtId="0" fontId="14" fillId="0" borderId="0" applyAlignment="1" pivotButton="0" quotePrefix="0" xfId="0">
      <alignment horizontal="left" vertical="center" wrapText="1"/>
    </xf>
    <xf numFmtId="10" fontId="13" fillId="5" borderId="1" applyAlignment="1" applyProtection="1" pivotButton="0" quotePrefix="0" xfId="0">
      <alignment horizontal="center" vertical="center" wrapText="1"/>
      <protection locked="0"/>
    </xf>
    <xf numFmtId="1" fontId="13" fillId="5" borderId="1" applyAlignment="1" applyProtection="1" pivotButton="0" quotePrefix="0" xfId="0">
      <alignment horizontal="center" vertical="center" wrapText="1"/>
      <protection locked="0"/>
    </xf>
    <xf numFmtId="49" fontId="13" fillId="5" borderId="1" applyAlignment="1" applyProtection="1" pivotButton="0" quotePrefix="0" xfId="0">
      <alignment horizontal="center" vertical="center" wrapText="1"/>
      <protection locked="0"/>
    </xf>
    <xf numFmtId="0" fontId="15" fillId="2" borderId="1" applyAlignment="1" pivotButton="0" quotePrefix="0" xfId="0">
      <alignment horizontal="center" vertical="center" wrapText="1"/>
    </xf>
    <xf numFmtId="0" fontId="16" fillId="6" borderId="2" applyAlignment="1" pivotButton="0" quotePrefix="0" xfId="0">
      <alignment horizontal="center" vertical="center" wrapText="1"/>
    </xf>
    <xf numFmtId="164" fontId="16" fillId="6" borderId="2" applyAlignment="1" pivotButton="0" quotePrefix="0" xfId="0">
      <alignment horizontal="right" vertical="center"/>
    </xf>
    <xf numFmtId="0" fontId="16" fillId="7" borderId="2" applyAlignment="1" pivotButton="0" quotePrefix="0" xfId="0">
      <alignment horizontal="center" vertical="center" wrapText="1"/>
    </xf>
    <xf numFmtId="164" fontId="16" fillId="7" borderId="2" applyAlignment="1" pivotButton="0" quotePrefix="0" xfId="0">
      <alignment horizontal="right" vertical="center"/>
    </xf>
    <xf numFmtId="0" fontId="7" fillId="0" borderId="0" applyAlignment="1" pivotButton="0" quotePrefix="0" xfId="0">
      <alignment horizontal="right" vertical="center"/>
    </xf>
    <xf numFmtId="164" fontId="13" fillId="8" borderId="1" applyAlignment="1" pivotButton="0" quotePrefix="0" xfId="0">
      <alignment horizontal="right" vertical="center"/>
    </xf>
    <xf numFmtId="0" fontId="17" fillId="4" borderId="0" applyAlignment="1" pivotButton="0" quotePrefix="0" xfId="0">
      <alignment horizontal="right" vertical="center"/>
    </xf>
    <xf numFmtId="164" fontId="17" fillId="4" borderId="1" applyAlignment="1" pivotButton="0" quotePrefix="0" xfId="0">
      <alignment horizontal="right" vertical="center"/>
    </xf>
    <xf numFmtId="0" fontId="18" fillId="0" borderId="0" applyAlignment="1" pivotButton="0" quotePrefix="0" xfId="0">
      <alignment horizontal="right" vertical="center"/>
    </xf>
    <xf numFmtId="164" fontId="19" fillId="0" borderId="0" applyAlignment="1" pivotButton="0" quotePrefix="0" xfId="0">
      <alignment horizontal="right" vertical="center"/>
    </xf>
    <xf numFmtId="0" fontId="20" fillId="0" borderId="0" applyAlignment="1" pivotButton="0" quotePrefix="0" xfId="0">
      <alignment horizontal="general" vertical="bottom"/>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7CC"/>
      <rgbColor rgb="FFDCFCE7"/>
      <rgbColor rgb="FF660066"/>
      <rgbColor rgb="FFFF8080"/>
      <rgbColor rgb="FF2748A8"/>
      <rgbColor rgb="FFCBD5E1"/>
      <rgbColor rgb="FF000080"/>
      <rgbColor rgb="FFFF00FF"/>
      <rgbColor rgb="FFFFFF00"/>
      <rgbColor rgb="FF00FFFF"/>
      <rgbColor rgb="FF800080"/>
      <rgbColor rgb="FF800000"/>
      <rgbColor rgb="FF008080"/>
      <rgbColor rgb="FF0000FF"/>
      <rgbColor rgb="FF00CCFF"/>
      <rgbColor rgb="FFF1F5F9"/>
      <rgbColor rgb="FFCCFFCC"/>
      <rgbColor rgb="FFFFFF99"/>
      <rgbColor rgb="FF99CCFF"/>
      <rgbColor rgb="FFFF99CC"/>
      <rgbColor rgb="FFCC99FF"/>
      <rgbColor rgb="FFFFCC99"/>
      <rgbColor rgb="FF3366FF"/>
      <rgbColor rgb="FF33CCCC"/>
      <rgbColor rgb="FF99CC00"/>
      <rgbColor rgb="FFFFCC00"/>
      <rgbColor rgb="FFFF9900"/>
      <rgbColor rgb="FFF97316"/>
      <rgbColor rgb="FF64748B"/>
      <rgbColor rgb="FF969696"/>
      <rgbColor rgb="FF003366"/>
      <rgbColor rgb="FF339966"/>
      <rgbColor rgb="FF003300"/>
      <rgbColor rgb="FF333300"/>
      <rgbColor rgb="FF993300"/>
      <rgbColor rgb="FF993366"/>
      <rgbColor rgb="FF1E3A8A"/>
      <rgbColor rgb="FF334155"/>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sheetPr filterMode="0">
    <outlinePr summaryBelow="1" summaryRight="1"/>
    <pageSetUpPr fitToPage="0"/>
  </sheetPr>
  <dimension ref="A1:H26"/>
  <sheetViews>
    <sheetView showFormulas="0" showGridLines="0" showRowColHeaders="1" showZeros="1" rightToLeft="0" tabSelected="1" showOutlineSymbols="1" defaultGridColor="1" view="normal" topLeftCell="A1" colorId="64" zoomScale="100" zoomScaleNormal="100" zoomScalePageLayoutView="100" workbookViewId="0">
      <selection pane="topLeft" activeCell="A1" activeCellId="0" sqref="A1"/>
    </sheetView>
  </sheetViews>
  <sheetFormatPr baseColWidth="8" defaultColWidth="8.6796875" defaultRowHeight="15" customHeight="0" zeroHeight="0" outlineLevelRow="0"/>
  <cols>
    <col width="14" customWidth="1" style="28" min="1" max="8"/>
  </cols>
  <sheetData>
    <row r="1" ht="27.75" customHeight="1" s="29">
      <c r="A1" s="30" t="inlineStr">
        <is>
          <t>CalcGuru</t>
        </is>
      </c>
    </row>
    <row r="2" ht="19.5" customHeight="1" s="29">
      <c r="A2" s="31" t="inlineStr">
        <is>
          <t>PPF Calculator &amp; Passbook</t>
        </is>
      </c>
    </row>
    <row r="3" ht="15.75" customHeight="1" s="29">
      <c r="A3" s="32" t="inlineStr">
        <is>
          <t>Public Provident Fund growth projection  |  FY 2026-27</t>
        </is>
      </c>
    </row>
    <row r="4"/>
    <row r="5" ht="15" customHeight="1" s="29">
      <c r="A5" s="33" t="inlineStr">
        <is>
          <t>Scheme rules (Public Provident Fund Scheme, 2019):</t>
        </is>
      </c>
    </row>
    <row r="6" ht="15" customHeight="1" s="29">
      <c r="A6" s="34" t="inlineStr">
        <is>
          <t>Interest rate</t>
        </is>
      </c>
    </row>
    <row r="7" ht="30" customHeight="1" s="29">
      <c r="A7" s="35" t="inlineStr">
        <is>
          <t>7.1% p.a. for Apr-Jun 2026 (Q1 FY 2026-27), unchanged since Apr-2020. Compounded annually, credited on 31 March. Rate is reset every quarter by the Finance Ministry - edit the yellow rate cell if it changes.</t>
        </is>
      </c>
    </row>
    <row r="8" ht="15" customHeight="1" s="29">
      <c r="A8" s="34" t="inlineStr">
        <is>
          <t>Deposit limits</t>
        </is>
      </c>
    </row>
    <row r="9" ht="30" customHeight="1" s="29">
      <c r="A9" s="35" t="inlineStr">
        <is>
          <t>Minimum Rs 500 and maximum Rs 1,50,000 per financial year (across all your PPF accounts). Deposits qualify for 80C deduction (old regime).</t>
        </is>
      </c>
    </row>
    <row r="10" ht="15" customHeight="1" s="29">
      <c r="A10" s="34" t="inlineStr">
        <is>
          <t>Tenure</t>
        </is>
      </c>
    </row>
    <row r="11" ht="30" customHeight="1" s="29">
      <c r="A11" s="35" t="inlineStr">
        <is>
          <t>15-year lock-in (the year of opening + 15). Extendable in blocks of 5 years, any number of times, with or without further contributions.</t>
        </is>
      </c>
    </row>
    <row r="12" ht="15" customHeight="1" s="29">
      <c r="A12" s="34" t="inlineStr">
        <is>
          <t>Interest calculation</t>
        </is>
      </c>
    </row>
    <row r="13" ht="30" customHeight="1" s="29">
      <c r="A13" s="35" t="inlineStr">
        <is>
          <t>Interest each month is computed on the LOWEST balance between the 5th and the last day of the month. So deposit on or before the 5th to earn interest for that month. The 'Monthly Deposit' sheet models this exactly.</t>
        </is>
      </c>
    </row>
    <row r="14" ht="15" customHeight="1" s="29">
      <c r="A14" s="34" t="inlineStr">
        <is>
          <t>Tax status</t>
        </is>
      </c>
    </row>
    <row r="15" ht="30" customHeight="1" s="29">
      <c r="A15" s="35" t="inlineStr">
        <is>
          <t>EEE - contribution (80C), annual interest, and maturity are all fully tax-exempt.</t>
        </is>
      </c>
    </row>
    <row r="16" ht="15" customHeight="1" s="29">
      <c r="A16" s="34" t="inlineStr">
        <is>
          <t>Loan / withdrawal</t>
        </is>
      </c>
    </row>
    <row r="17" ht="30" customHeight="1" s="29">
      <c r="A17" s="35" t="inlineStr">
        <is>
          <t>Loan available from year 3 to 6; partial withdrawal from year 7. Not modelled here (projection assumes no withdrawals).</t>
        </is>
      </c>
    </row>
    <row r="18"/>
    <row r="19" ht="15" customHeight="1" s="29">
      <c r="A19" s="36" t="inlineStr">
        <is>
          <t>How to use</t>
        </is>
      </c>
    </row>
    <row r="20" ht="15" customHeight="1" s="29">
      <c r="A20" s="35" t="inlineStr">
        <is>
          <t>1. 'PPF Calculator' sheet - enter your annual deposit, rate, tenure and deposit timing; read the maturity + year-wise passbook.</t>
        </is>
      </c>
    </row>
    <row r="21" ht="15" customHeight="1" s="29">
      <c r="A21" s="35" t="inlineStr">
        <is>
          <t>2. 'Monthly Deposit' sheet - if you invest monthly instead of a yearly lump sum, use this for the exact min-balance interest.</t>
        </is>
      </c>
    </row>
    <row r="22" ht="15" customHeight="1" s="29">
      <c r="A22" s="35" t="inlineStr">
        <is>
          <t>3. Yellow cells are inputs; everything else is locked formulas. Password to unprotect: CalcGuru@2026.</t>
        </is>
      </c>
    </row>
    <row r="23"/>
    <row r="24" ht="24" customHeight="1" s="29">
      <c r="A24" s="37" t="inlineStr">
        <is>
          <t>Disclaimer: Projection assumes the rate stays constant and no withdrawals. Actual PPF interest is reset quarterly. For guidance only.</t>
        </is>
      </c>
    </row>
    <row r="25"/>
    <row r="26" ht="15" customHeight="1" s="29">
      <c r="A26" s="38" t="inlineStr">
        <is>
          <t>Prepared by CA Tirumalesh Malla  |  calcguru.in  |  Free CA working files &amp; calculators</t>
        </is>
      </c>
    </row>
  </sheetData>
  <sheetProtection selectLockedCells="0" selectUnlockedCells="0" sheet="1" objects="0" insertRows="1" insertHyperlinks="1" autoFilter="0" scenarios="0" formatColumns="0" deleteColumns="1" insertColumns="0" pivotTables="1" deleteRows="1" formatCells="0" formatRows="0" sort="0" password="BBBC"/>
  <mergeCells count="21">
    <mergeCell ref="A9:H9"/>
    <mergeCell ref="A15:H15"/>
    <mergeCell ref="A24:H24"/>
    <mergeCell ref="A11:H11"/>
    <mergeCell ref="A1:H1"/>
    <mergeCell ref="A6:H6"/>
    <mergeCell ref="A7:H7"/>
    <mergeCell ref="A16:H16"/>
    <mergeCell ref="A12:H12"/>
    <mergeCell ref="A3:H3"/>
    <mergeCell ref="A21:H21"/>
    <mergeCell ref="A26:H26"/>
    <mergeCell ref="A2:H2"/>
    <mergeCell ref="A14:H14"/>
    <mergeCell ref="A8:H8"/>
    <mergeCell ref="A22:H22"/>
    <mergeCell ref="A17:H17"/>
    <mergeCell ref="A20:H20"/>
    <mergeCell ref="A10:H10"/>
    <mergeCell ref="A13:H13"/>
    <mergeCell ref="A19:H19"/>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2.xml><?xml version="1.0" encoding="utf-8"?>
<worksheet xmlns="http://schemas.openxmlformats.org/spreadsheetml/2006/main">
  <sheetPr filterMode="0">
    <outlinePr summaryBelow="1" summaryRight="1"/>
    <pageSetUpPr fitToPage="0"/>
  </sheetPr>
  <dimension ref="A1:G68"/>
  <sheetViews>
    <sheetView showFormulas="0" showGridLines="0" showRowColHeaders="1" showZeros="1" rightToLeft="0" tabSelected="0" showOutlineSymbols="1" defaultGridColor="1" view="normal" topLeftCell="A1" colorId="64" zoomScale="100" zoomScaleNormal="100" zoomScalePageLayoutView="100" workbookViewId="0">
      <pane xSplit="0" ySplit="12" topLeftCell="A13"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8" customWidth="1" style="28" min="1" max="1"/>
    <col width="18" customWidth="1" style="28" min="2" max="2"/>
    <col width="15" customWidth="1" style="28" min="3" max="7"/>
  </cols>
  <sheetData>
    <row r="1" ht="27.75" customHeight="1" s="29">
      <c r="A1" s="30" t="inlineStr">
        <is>
          <t>CalcGuru</t>
        </is>
      </c>
    </row>
    <row r="2" ht="19.5" customHeight="1" s="29">
      <c r="A2" s="31" t="inlineStr">
        <is>
          <t>PPF Calculator (Annual Deposit)</t>
        </is>
      </c>
    </row>
    <row r="3" ht="15.75" customHeight="1" s="29">
      <c r="A3" s="32" t="inlineStr">
        <is>
          <t>Yearly lump-sum model  |  FY 2026-27</t>
        </is>
      </c>
    </row>
    <row r="4"/>
    <row r="5" ht="15" customHeight="1" s="29">
      <c r="B5" s="33" t="inlineStr">
        <is>
          <t>Inputs</t>
        </is>
      </c>
    </row>
    <row r="6" ht="17.9" customHeight="1" s="29">
      <c r="B6" s="39" t="inlineStr">
        <is>
          <t>Annual deposit (Rs)</t>
        </is>
      </c>
      <c r="C6" s="40" t="n">
        <v>150000</v>
      </c>
      <c r="E6" s="41" t="inlineStr">
        <is>
          <t>&lt;- max Rs 1,50,000 / year</t>
        </is>
      </c>
    </row>
    <row r="7" ht="17.9" customHeight="1" s="29">
      <c r="B7" s="39" t="inlineStr">
        <is>
          <t>Interest rate (p.a.)</t>
        </is>
      </c>
      <c r="C7" s="42" t="n">
        <v>0.07099999999999999</v>
      </c>
      <c r="E7" s="41" t="inlineStr">
        <is>
          <t>&lt;- editable if RBI/MoF revises</t>
        </is>
      </c>
    </row>
    <row r="8" ht="17.9" customHeight="1" s="29">
      <c r="B8" s="39" t="inlineStr">
        <is>
          <t>Tenure (years)</t>
        </is>
      </c>
      <c r="C8" s="43" t="n">
        <v>15</v>
      </c>
      <c r="E8" s="41" t="inlineStr">
        <is>
          <t>&lt;- 15, or 20/25/30... for extensions</t>
        </is>
      </c>
    </row>
    <row r="9" ht="20.85" customHeight="1" s="29">
      <c r="B9" s="39" t="inlineStr">
        <is>
          <t>Deposit timing (Start/End of year)</t>
        </is>
      </c>
      <c r="C9" s="44" t="inlineStr">
        <is>
          <t>Start</t>
        </is>
      </c>
    </row>
    <row r="10"/>
    <row r="11" ht="15" customHeight="1" s="29">
      <c r="B11" s="33" t="inlineStr">
        <is>
          <t>Year-wise passbook</t>
        </is>
      </c>
    </row>
    <row r="12" ht="15" customHeight="1" s="29">
      <c r="A12" s="45" t="inlineStr">
        <is>
          <t>Year</t>
        </is>
      </c>
      <c r="B12" s="45" t="inlineStr">
        <is>
          <t>Opening Balance</t>
        </is>
      </c>
      <c r="C12" s="45" t="inlineStr">
        <is>
          <t>Deposit</t>
        </is>
      </c>
      <c r="D12" s="45" t="inlineStr">
        <is>
          <t>Interest</t>
        </is>
      </c>
      <c r="E12" s="45" t="inlineStr">
        <is>
          <t>Closing Balance</t>
        </is>
      </c>
    </row>
    <row r="13" ht="15" customHeight="1" s="29">
      <c r="A13" s="46">
        <f>IF(1&lt;=PPF_years,1,"")</f>
        <v/>
      </c>
      <c r="B13" s="47">
        <f>IF(1&lt;=PPF_years,0,"")</f>
        <v/>
      </c>
      <c r="C13" s="47">
        <f>IF(1&lt;=PPF_years,PPF_amt,"")</f>
        <v/>
      </c>
      <c r="D13" s="47">
        <f>IF(1&lt;=PPF_years,IF(PPF_timing="Start",(B13+C13)*PPF_rate,B13*PPF_rate),"")</f>
        <v/>
      </c>
      <c r="E13" s="47">
        <f>IF(1&lt;=PPF_years,B13+C13+D13,"")</f>
        <v/>
      </c>
    </row>
    <row r="14" ht="15" customHeight="1" s="29">
      <c r="A14" s="48">
        <f>IF(2&lt;=PPF_years,2,"")</f>
        <v/>
      </c>
      <c r="B14" s="49">
        <f>IF(2&lt;=PPF_years,E13,"")</f>
        <v/>
      </c>
      <c r="C14" s="49">
        <f>IF(2&lt;=PPF_years,PPF_amt,"")</f>
        <v/>
      </c>
      <c r="D14" s="49">
        <f>IF(2&lt;=PPF_years,IF(PPF_timing="Start",(B14+C14)*PPF_rate,B14*PPF_rate),"")</f>
        <v/>
      </c>
      <c r="E14" s="49">
        <f>IF(2&lt;=PPF_years,B14+C14+D14,"")</f>
        <v/>
      </c>
    </row>
    <row r="15" ht="15" customHeight="1" s="29">
      <c r="A15" s="46">
        <f>IF(3&lt;=PPF_years,3,"")</f>
        <v/>
      </c>
      <c r="B15" s="47">
        <f>IF(3&lt;=PPF_years,E14,"")</f>
        <v/>
      </c>
      <c r="C15" s="47">
        <f>IF(3&lt;=PPF_years,PPF_amt,"")</f>
        <v/>
      </c>
      <c r="D15" s="47">
        <f>IF(3&lt;=PPF_years,IF(PPF_timing="Start",(B15+C15)*PPF_rate,B15*PPF_rate),"")</f>
        <v/>
      </c>
      <c r="E15" s="47">
        <f>IF(3&lt;=PPF_years,B15+C15+D15,"")</f>
        <v/>
      </c>
    </row>
    <row r="16" ht="15" customHeight="1" s="29">
      <c r="A16" s="48">
        <f>IF(4&lt;=PPF_years,4,"")</f>
        <v/>
      </c>
      <c r="B16" s="49">
        <f>IF(4&lt;=PPF_years,E15,"")</f>
        <v/>
      </c>
      <c r="C16" s="49">
        <f>IF(4&lt;=PPF_years,PPF_amt,"")</f>
        <v/>
      </c>
      <c r="D16" s="49">
        <f>IF(4&lt;=PPF_years,IF(PPF_timing="Start",(B16+C16)*PPF_rate,B16*PPF_rate),"")</f>
        <v/>
      </c>
      <c r="E16" s="49">
        <f>IF(4&lt;=PPF_years,B16+C16+D16,"")</f>
        <v/>
      </c>
    </row>
    <row r="17" ht="15" customHeight="1" s="29">
      <c r="A17" s="46">
        <f>IF(5&lt;=PPF_years,5,"")</f>
        <v/>
      </c>
      <c r="B17" s="47">
        <f>IF(5&lt;=PPF_years,E16,"")</f>
        <v/>
      </c>
      <c r="C17" s="47">
        <f>IF(5&lt;=PPF_years,PPF_amt,"")</f>
        <v/>
      </c>
      <c r="D17" s="47">
        <f>IF(5&lt;=PPF_years,IF(PPF_timing="Start",(B17+C17)*PPF_rate,B17*PPF_rate),"")</f>
        <v/>
      </c>
      <c r="E17" s="47">
        <f>IF(5&lt;=PPF_years,B17+C17+D17,"")</f>
        <v/>
      </c>
    </row>
    <row r="18" ht="15" customHeight="1" s="29">
      <c r="A18" s="48">
        <f>IF(6&lt;=PPF_years,6,"")</f>
        <v/>
      </c>
      <c r="B18" s="49">
        <f>IF(6&lt;=PPF_years,E17,"")</f>
        <v/>
      </c>
      <c r="C18" s="49">
        <f>IF(6&lt;=PPF_years,PPF_amt,"")</f>
        <v/>
      </c>
      <c r="D18" s="49">
        <f>IF(6&lt;=PPF_years,IF(PPF_timing="Start",(B18+C18)*PPF_rate,B18*PPF_rate),"")</f>
        <v/>
      </c>
      <c r="E18" s="49">
        <f>IF(6&lt;=PPF_years,B18+C18+D18,"")</f>
        <v/>
      </c>
    </row>
    <row r="19" ht="15" customHeight="1" s="29">
      <c r="A19" s="46">
        <f>IF(7&lt;=PPF_years,7,"")</f>
        <v/>
      </c>
      <c r="B19" s="47">
        <f>IF(7&lt;=PPF_years,E18,"")</f>
        <v/>
      </c>
      <c r="C19" s="47">
        <f>IF(7&lt;=PPF_years,PPF_amt,"")</f>
        <v/>
      </c>
      <c r="D19" s="47">
        <f>IF(7&lt;=PPF_years,IF(PPF_timing="Start",(B19+C19)*PPF_rate,B19*PPF_rate),"")</f>
        <v/>
      </c>
      <c r="E19" s="47">
        <f>IF(7&lt;=PPF_years,B19+C19+D19,"")</f>
        <v/>
      </c>
    </row>
    <row r="20" ht="15" customHeight="1" s="29">
      <c r="A20" s="48">
        <f>IF(8&lt;=PPF_years,8,"")</f>
        <v/>
      </c>
      <c r="B20" s="49">
        <f>IF(8&lt;=PPF_years,E19,"")</f>
        <v/>
      </c>
      <c r="C20" s="49">
        <f>IF(8&lt;=PPF_years,PPF_amt,"")</f>
        <v/>
      </c>
      <c r="D20" s="49">
        <f>IF(8&lt;=PPF_years,IF(PPF_timing="Start",(B20+C20)*PPF_rate,B20*PPF_rate),"")</f>
        <v/>
      </c>
      <c r="E20" s="49">
        <f>IF(8&lt;=PPF_years,B20+C20+D20,"")</f>
        <v/>
      </c>
    </row>
    <row r="21" ht="15" customHeight="1" s="29">
      <c r="A21" s="46">
        <f>IF(9&lt;=PPF_years,9,"")</f>
        <v/>
      </c>
      <c r="B21" s="47">
        <f>IF(9&lt;=PPF_years,E20,"")</f>
        <v/>
      </c>
      <c r="C21" s="47">
        <f>IF(9&lt;=PPF_years,PPF_amt,"")</f>
        <v/>
      </c>
      <c r="D21" s="47">
        <f>IF(9&lt;=PPF_years,IF(PPF_timing="Start",(B21+C21)*PPF_rate,B21*PPF_rate),"")</f>
        <v/>
      </c>
      <c r="E21" s="47">
        <f>IF(9&lt;=PPF_years,B21+C21+D21,"")</f>
        <v/>
      </c>
    </row>
    <row r="22" ht="15" customHeight="1" s="29">
      <c r="A22" s="48">
        <f>IF(10&lt;=PPF_years,10,"")</f>
        <v/>
      </c>
      <c r="B22" s="49">
        <f>IF(10&lt;=PPF_years,E21,"")</f>
        <v/>
      </c>
      <c r="C22" s="49">
        <f>IF(10&lt;=PPF_years,PPF_amt,"")</f>
        <v/>
      </c>
      <c r="D22" s="49">
        <f>IF(10&lt;=PPF_years,IF(PPF_timing="Start",(B22+C22)*PPF_rate,B22*PPF_rate),"")</f>
        <v/>
      </c>
      <c r="E22" s="49">
        <f>IF(10&lt;=PPF_years,B22+C22+D22,"")</f>
        <v/>
      </c>
    </row>
    <row r="23" ht="15" customHeight="1" s="29">
      <c r="A23" s="46">
        <f>IF(11&lt;=PPF_years,11,"")</f>
        <v/>
      </c>
      <c r="B23" s="47">
        <f>IF(11&lt;=PPF_years,E22,"")</f>
        <v/>
      </c>
      <c r="C23" s="47">
        <f>IF(11&lt;=PPF_years,PPF_amt,"")</f>
        <v/>
      </c>
      <c r="D23" s="47">
        <f>IF(11&lt;=PPF_years,IF(PPF_timing="Start",(B23+C23)*PPF_rate,B23*PPF_rate),"")</f>
        <v/>
      </c>
      <c r="E23" s="47">
        <f>IF(11&lt;=PPF_years,B23+C23+D23,"")</f>
        <v/>
      </c>
    </row>
    <row r="24" ht="15" customHeight="1" s="29">
      <c r="A24" s="48">
        <f>IF(12&lt;=PPF_years,12,"")</f>
        <v/>
      </c>
      <c r="B24" s="49">
        <f>IF(12&lt;=PPF_years,E23,"")</f>
        <v/>
      </c>
      <c r="C24" s="49">
        <f>IF(12&lt;=PPF_years,PPF_amt,"")</f>
        <v/>
      </c>
      <c r="D24" s="49">
        <f>IF(12&lt;=PPF_years,IF(PPF_timing="Start",(B24+C24)*PPF_rate,B24*PPF_rate),"")</f>
        <v/>
      </c>
      <c r="E24" s="49">
        <f>IF(12&lt;=PPF_years,B24+C24+D24,"")</f>
        <v/>
      </c>
    </row>
    <row r="25" ht="15" customHeight="1" s="29">
      <c r="A25" s="46">
        <f>IF(13&lt;=PPF_years,13,"")</f>
        <v/>
      </c>
      <c r="B25" s="47">
        <f>IF(13&lt;=PPF_years,E24,"")</f>
        <v/>
      </c>
      <c r="C25" s="47">
        <f>IF(13&lt;=PPF_years,PPF_amt,"")</f>
        <v/>
      </c>
      <c r="D25" s="47">
        <f>IF(13&lt;=PPF_years,IF(PPF_timing="Start",(B25+C25)*PPF_rate,B25*PPF_rate),"")</f>
        <v/>
      </c>
      <c r="E25" s="47">
        <f>IF(13&lt;=PPF_years,B25+C25+D25,"")</f>
        <v/>
      </c>
    </row>
    <row r="26" ht="15" customHeight="1" s="29">
      <c r="A26" s="48">
        <f>IF(14&lt;=PPF_years,14,"")</f>
        <v/>
      </c>
      <c r="B26" s="49">
        <f>IF(14&lt;=PPF_years,E25,"")</f>
        <v/>
      </c>
      <c r="C26" s="49">
        <f>IF(14&lt;=PPF_years,PPF_amt,"")</f>
        <v/>
      </c>
      <c r="D26" s="49">
        <f>IF(14&lt;=PPF_years,IF(PPF_timing="Start",(B26+C26)*PPF_rate,B26*PPF_rate),"")</f>
        <v/>
      </c>
      <c r="E26" s="49">
        <f>IF(14&lt;=PPF_years,B26+C26+D26,"")</f>
        <v/>
      </c>
    </row>
    <row r="27" ht="15" customHeight="1" s="29">
      <c r="A27" s="46">
        <f>IF(15&lt;=PPF_years,15,"")</f>
        <v/>
      </c>
      <c r="B27" s="47">
        <f>IF(15&lt;=PPF_years,E26,"")</f>
        <v/>
      </c>
      <c r="C27" s="47">
        <f>IF(15&lt;=PPF_years,PPF_amt,"")</f>
        <v/>
      </c>
      <c r="D27" s="47">
        <f>IF(15&lt;=PPF_years,IF(PPF_timing="Start",(B27+C27)*PPF_rate,B27*PPF_rate),"")</f>
        <v/>
      </c>
      <c r="E27" s="47">
        <f>IF(15&lt;=PPF_years,B27+C27+D27,"")</f>
        <v/>
      </c>
    </row>
    <row r="28" ht="15" customHeight="1" s="29">
      <c r="A28" s="48">
        <f>IF(16&lt;=PPF_years,16,"")</f>
        <v/>
      </c>
      <c r="B28" s="49">
        <f>IF(16&lt;=PPF_years,E27,"")</f>
        <v/>
      </c>
      <c r="C28" s="49">
        <f>IF(16&lt;=PPF_years,PPF_amt,"")</f>
        <v/>
      </c>
      <c r="D28" s="49">
        <f>IF(16&lt;=PPF_years,IF(PPF_timing="Start",(B28+C28)*PPF_rate,B28*PPF_rate),"")</f>
        <v/>
      </c>
      <c r="E28" s="49">
        <f>IF(16&lt;=PPF_years,B28+C28+D28,"")</f>
        <v/>
      </c>
    </row>
    <row r="29" ht="15" customHeight="1" s="29">
      <c r="A29" s="46">
        <f>IF(17&lt;=PPF_years,17,"")</f>
        <v/>
      </c>
      <c r="B29" s="47">
        <f>IF(17&lt;=PPF_years,E28,"")</f>
        <v/>
      </c>
      <c r="C29" s="47">
        <f>IF(17&lt;=PPF_years,PPF_amt,"")</f>
        <v/>
      </c>
      <c r="D29" s="47">
        <f>IF(17&lt;=PPF_years,IF(PPF_timing="Start",(B29+C29)*PPF_rate,B29*PPF_rate),"")</f>
        <v/>
      </c>
      <c r="E29" s="47">
        <f>IF(17&lt;=PPF_years,B29+C29+D29,"")</f>
        <v/>
      </c>
    </row>
    <row r="30" ht="15" customHeight="1" s="29">
      <c r="A30" s="48">
        <f>IF(18&lt;=PPF_years,18,"")</f>
        <v/>
      </c>
      <c r="B30" s="49">
        <f>IF(18&lt;=PPF_years,E29,"")</f>
        <v/>
      </c>
      <c r="C30" s="49">
        <f>IF(18&lt;=PPF_years,PPF_amt,"")</f>
        <v/>
      </c>
      <c r="D30" s="49">
        <f>IF(18&lt;=PPF_years,IF(PPF_timing="Start",(B30+C30)*PPF_rate,B30*PPF_rate),"")</f>
        <v/>
      </c>
      <c r="E30" s="49">
        <f>IF(18&lt;=PPF_years,B30+C30+D30,"")</f>
        <v/>
      </c>
    </row>
    <row r="31" ht="15" customHeight="1" s="29">
      <c r="A31" s="46">
        <f>IF(19&lt;=PPF_years,19,"")</f>
        <v/>
      </c>
      <c r="B31" s="47">
        <f>IF(19&lt;=PPF_years,E30,"")</f>
        <v/>
      </c>
      <c r="C31" s="47">
        <f>IF(19&lt;=PPF_years,PPF_amt,"")</f>
        <v/>
      </c>
      <c r="D31" s="47">
        <f>IF(19&lt;=PPF_years,IF(PPF_timing="Start",(B31+C31)*PPF_rate,B31*PPF_rate),"")</f>
        <v/>
      </c>
      <c r="E31" s="47">
        <f>IF(19&lt;=PPF_years,B31+C31+D31,"")</f>
        <v/>
      </c>
    </row>
    <row r="32" ht="15" customHeight="1" s="29">
      <c r="A32" s="48">
        <f>IF(20&lt;=PPF_years,20,"")</f>
        <v/>
      </c>
      <c r="B32" s="49">
        <f>IF(20&lt;=PPF_years,E31,"")</f>
        <v/>
      </c>
      <c r="C32" s="49">
        <f>IF(20&lt;=PPF_years,PPF_amt,"")</f>
        <v/>
      </c>
      <c r="D32" s="49">
        <f>IF(20&lt;=PPF_years,IF(PPF_timing="Start",(B32+C32)*PPF_rate,B32*PPF_rate),"")</f>
        <v/>
      </c>
      <c r="E32" s="49">
        <f>IF(20&lt;=PPF_years,B32+C32+D32,"")</f>
        <v/>
      </c>
    </row>
    <row r="33" ht="15" customHeight="1" s="29">
      <c r="A33" s="46">
        <f>IF(21&lt;=PPF_years,21,"")</f>
        <v/>
      </c>
      <c r="B33" s="47">
        <f>IF(21&lt;=PPF_years,E32,"")</f>
        <v/>
      </c>
      <c r="C33" s="47">
        <f>IF(21&lt;=PPF_years,PPF_amt,"")</f>
        <v/>
      </c>
      <c r="D33" s="47">
        <f>IF(21&lt;=PPF_years,IF(PPF_timing="Start",(B33+C33)*PPF_rate,B33*PPF_rate),"")</f>
        <v/>
      </c>
      <c r="E33" s="47">
        <f>IF(21&lt;=PPF_years,B33+C33+D33,"")</f>
        <v/>
      </c>
    </row>
    <row r="34" ht="15" customHeight="1" s="29">
      <c r="A34" s="48">
        <f>IF(22&lt;=PPF_years,22,"")</f>
        <v/>
      </c>
      <c r="B34" s="49">
        <f>IF(22&lt;=PPF_years,E33,"")</f>
        <v/>
      </c>
      <c r="C34" s="49">
        <f>IF(22&lt;=PPF_years,PPF_amt,"")</f>
        <v/>
      </c>
      <c r="D34" s="49">
        <f>IF(22&lt;=PPF_years,IF(PPF_timing="Start",(B34+C34)*PPF_rate,B34*PPF_rate),"")</f>
        <v/>
      </c>
      <c r="E34" s="49">
        <f>IF(22&lt;=PPF_years,B34+C34+D34,"")</f>
        <v/>
      </c>
    </row>
    <row r="35" ht="15" customHeight="1" s="29">
      <c r="A35" s="46">
        <f>IF(23&lt;=PPF_years,23,"")</f>
        <v/>
      </c>
      <c r="B35" s="47">
        <f>IF(23&lt;=PPF_years,E34,"")</f>
        <v/>
      </c>
      <c r="C35" s="47">
        <f>IF(23&lt;=PPF_years,PPF_amt,"")</f>
        <v/>
      </c>
      <c r="D35" s="47">
        <f>IF(23&lt;=PPF_years,IF(PPF_timing="Start",(B35+C35)*PPF_rate,B35*PPF_rate),"")</f>
        <v/>
      </c>
      <c r="E35" s="47">
        <f>IF(23&lt;=PPF_years,B35+C35+D35,"")</f>
        <v/>
      </c>
    </row>
    <row r="36" ht="15" customHeight="1" s="29">
      <c r="A36" s="48">
        <f>IF(24&lt;=PPF_years,24,"")</f>
        <v/>
      </c>
      <c r="B36" s="49">
        <f>IF(24&lt;=PPF_years,E35,"")</f>
        <v/>
      </c>
      <c r="C36" s="49">
        <f>IF(24&lt;=PPF_years,PPF_amt,"")</f>
        <v/>
      </c>
      <c r="D36" s="49">
        <f>IF(24&lt;=PPF_years,IF(PPF_timing="Start",(B36+C36)*PPF_rate,B36*PPF_rate),"")</f>
        <v/>
      </c>
      <c r="E36" s="49">
        <f>IF(24&lt;=PPF_years,B36+C36+D36,"")</f>
        <v/>
      </c>
    </row>
    <row r="37" ht="15" customHeight="1" s="29">
      <c r="A37" s="46">
        <f>IF(25&lt;=PPF_years,25,"")</f>
        <v/>
      </c>
      <c r="B37" s="47">
        <f>IF(25&lt;=PPF_years,E36,"")</f>
        <v/>
      </c>
      <c r="C37" s="47">
        <f>IF(25&lt;=PPF_years,PPF_amt,"")</f>
        <v/>
      </c>
      <c r="D37" s="47">
        <f>IF(25&lt;=PPF_years,IF(PPF_timing="Start",(B37+C37)*PPF_rate,B37*PPF_rate),"")</f>
        <v/>
      </c>
      <c r="E37" s="47">
        <f>IF(25&lt;=PPF_years,B37+C37+D37,"")</f>
        <v/>
      </c>
    </row>
    <row r="38" ht="15" customHeight="1" s="29">
      <c r="A38" s="48">
        <f>IF(26&lt;=PPF_years,26,"")</f>
        <v/>
      </c>
      <c r="B38" s="49">
        <f>IF(26&lt;=PPF_years,E37,"")</f>
        <v/>
      </c>
      <c r="C38" s="49">
        <f>IF(26&lt;=PPF_years,PPF_amt,"")</f>
        <v/>
      </c>
      <c r="D38" s="49">
        <f>IF(26&lt;=PPF_years,IF(PPF_timing="Start",(B38+C38)*PPF_rate,B38*PPF_rate),"")</f>
        <v/>
      </c>
      <c r="E38" s="49">
        <f>IF(26&lt;=PPF_years,B38+C38+D38,"")</f>
        <v/>
      </c>
    </row>
    <row r="39" ht="15" customHeight="1" s="29">
      <c r="A39" s="46">
        <f>IF(27&lt;=PPF_years,27,"")</f>
        <v/>
      </c>
      <c r="B39" s="47">
        <f>IF(27&lt;=PPF_years,E38,"")</f>
        <v/>
      </c>
      <c r="C39" s="47">
        <f>IF(27&lt;=PPF_years,PPF_amt,"")</f>
        <v/>
      </c>
      <c r="D39" s="47">
        <f>IF(27&lt;=PPF_years,IF(PPF_timing="Start",(B39+C39)*PPF_rate,B39*PPF_rate),"")</f>
        <v/>
      </c>
      <c r="E39" s="47">
        <f>IF(27&lt;=PPF_years,B39+C39+D39,"")</f>
        <v/>
      </c>
    </row>
    <row r="40" ht="15" customHeight="1" s="29">
      <c r="A40" s="48">
        <f>IF(28&lt;=PPF_years,28,"")</f>
        <v/>
      </c>
      <c r="B40" s="49">
        <f>IF(28&lt;=PPF_years,E39,"")</f>
        <v/>
      </c>
      <c r="C40" s="49">
        <f>IF(28&lt;=PPF_years,PPF_amt,"")</f>
        <v/>
      </c>
      <c r="D40" s="49">
        <f>IF(28&lt;=PPF_years,IF(PPF_timing="Start",(B40+C40)*PPF_rate,B40*PPF_rate),"")</f>
        <v/>
      </c>
      <c r="E40" s="49">
        <f>IF(28&lt;=PPF_years,B40+C40+D40,"")</f>
        <v/>
      </c>
    </row>
    <row r="41" ht="15" customHeight="1" s="29">
      <c r="A41" s="46">
        <f>IF(29&lt;=PPF_years,29,"")</f>
        <v/>
      </c>
      <c r="B41" s="47">
        <f>IF(29&lt;=PPF_years,E40,"")</f>
        <v/>
      </c>
      <c r="C41" s="47">
        <f>IF(29&lt;=PPF_years,PPF_amt,"")</f>
        <v/>
      </c>
      <c r="D41" s="47">
        <f>IF(29&lt;=PPF_years,IF(PPF_timing="Start",(B41+C41)*PPF_rate,B41*PPF_rate),"")</f>
        <v/>
      </c>
      <c r="E41" s="47">
        <f>IF(29&lt;=PPF_years,B41+C41+D41,"")</f>
        <v/>
      </c>
    </row>
    <row r="42" ht="15" customHeight="1" s="29">
      <c r="A42" s="48">
        <f>IF(30&lt;=PPF_years,30,"")</f>
        <v/>
      </c>
      <c r="B42" s="49">
        <f>IF(30&lt;=PPF_years,E41,"")</f>
        <v/>
      </c>
      <c r="C42" s="49">
        <f>IF(30&lt;=PPF_years,PPF_amt,"")</f>
        <v/>
      </c>
      <c r="D42" s="49">
        <f>IF(30&lt;=PPF_years,IF(PPF_timing="Start",(B42+C42)*PPF_rate,B42*PPF_rate),"")</f>
        <v/>
      </c>
      <c r="E42" s="49">
        <f>IF(30&lt;=PPF_years,B42+C42+D42,"")</f>
        <v/>
      </c>
    </row>
    <row r="43" ht="15" customHeight="1" s="29">
      <c r="A43" s="46">
        <f>IF(31&lt;=PPF_years,31,"")</f>
        <v/>
      </c>
      <c r="B43" s="47">
        <f>IF(31&lt;=PPF_years,E42,"")</f>
        <v/>
      </c>
      <c r="C43" s="47">
        <f>IF(31&lt;=PPF_years,PPF_amt,"")</f>
        <v/>
      </c>
      <c r="D43" s="47">
        <f>IF(31&lt;=PPF_years,IF(PPF_timing="Start",(B43+C43)*PPF_rate,B43*PPF_rate),"")</f>
        <v/>
      </c>
      <c r="E43" s="47">
        <f>IF(31&lt;=PPF_years,B43+C43+D43,"")</f>
        <v/>
      </c>
    </row>
    <row r="44" ht="15" customHeight="1" s="29">
      <c r="A44" s="48">
        <f>IF(32&lt;=PPF_years,32,"")</f>
        <v/>
      </c>
      <c r="B44" s="49">
        <f>IF(32&lt;=PPF_years,E43,"")</f>
        <v/>
      </c>
      <c r="C44" s="49">
        <f>IF(32&lt;=PPF_years,PPF_amt,"")</f>
        <v/>
      </c>
      <c r="D44" s="49">
        <f>IF(32&lt;=PPF_years,IF(PPF_timing="Start",(B44+C44)*PPF_rate,B44*PPF_rate),"")</f>
        <v/>
      </c>
      <c r="E44" s="49">
        <f>IF(32&lt;=PPF_years,B44+C44+D44,"")</f>
        <v/>
      </c>
    </row>
    <row r="45" ht="15" customHeight="1" s="29">
      <c r="A45" s="46">
        <f>IF(33&lt;=PPF_years,33,"")</f>
        <v/>
      </c>
      <c r="B45" s="47">
        <f>IF(33&lt;=PPF_years,E44,"")</f>
        <v/>
      </c>
      <c r="C45" s="47">
        <f>IF(33&lt;=PPF_years,PPF_amt,"")</f>
        <v/>
      </c>
      <c r="D45" s="47">
        <f>IF(33&lt;=PPF_years,IF(PPF_timing="Start",(B45+C45)*PPF_rate,B45*PPF_rate),"")</f>
        <v/>
      </c>
      <c r="E45" s="47">
        <f>IF(33&lt;=PPF_years,B45+C45+D45,"")</f>
        <v/>
      </c>
    </row>
    <row r="46" ht="15" customHeight="1" s="29">
      <c r="A46" s="48">
        <f>IF(34&lt;=PPF_years,34,"")</f>
        <v/>
      </c>
      <c r="B46" s="49">
        <f>IF(34&lt;=PPF_years,E45,"")</f>
        <v/>
      </c>
      <c r="C46" s="49">
        <f>IF(34&lt;=PPF_years,PPF_amt,"")</f>
        <v/>
      </c>
      <c r="D46" s="49">
        <f>IF(34&lt;=PPF_years,IF(PPF_timing="Start",(B46+C46)*PPF_rate,B46*PPF_rate),"")</f>
        <v/>
      </c>
      <c r="E46" s="49">
        <f>IF(34&lt;=PPF_years,B46+C46+D46,"")</f>
        <v/>
      </c>
    </row>
    <row r="47" ht="15" customHeight="1" s="29">
      <c r="A47" s="46">
        <f>IF(35&lt;=PPF_years,35,"")</f>
        <v/>
      </c>
      <c r="B47" s="47">
        <f>IF(35&lt;=PPF_years,E46,"")</f>
        <v/>
      </c>
      <c r="C47" s="47">
        <f>IF(35&lt;=PPF_years,PPF_amt,"")</f>
        <v/>
      </c>
      <c r="D47" s="47">
        <f>IF(35&lt;=PPF_years,IF(PPF_timing="Start",(B47+C47)*PPF_rate,B47*PPF_rate),"")</f>
        <v/>
      </c>
      <c r="E47" s="47">
        <f>IF(35&lt;=PPF_years,B47+C47+D47,"")</f>
        <v/>
      </c>
    </row>
    <row r="48" ht="15" customHeight="1" s="29">
      <c r="A48" s="48">
        <f>IF(36&lt;=PPF_years,36,"")</f>
        <v/>
      </c>
      <c r="B48" s="49">
        <f>IF(36&lt;=PPF_years,E47,"")</f>
        <v/>
      </c>
      <c r="C48" s="49">
        <f>IF(36&lt;=PPF_years,PPF_amt,"")</f>
        <v/>
      </c>
      <c r="D48" s="49">
        <f>IF(36&lt;=PPF_years,IF(PPF_timing="Start",(B48+C48)*PPF_rate,B48*PPF_rate),"")</f>
        <v/>
      </c>
      <c r="E48" s="49">
        <f>IF(36&lt;=PPF_years,B48+C48+D48,"")</f>
        <v/>
      </c>
    </row>
    <row r="49" ht="15" customHeight="1" s="29">
      <c r="A49" s="46">
        <f>IF(37&lt;=PPF_years,37,"")</f>
        <v/>
      </c>
      <c r="B49" s="47">
        <f>IF(37&lt;=PPF_years,E48,"")</f>
        <v/>
      </c>
      <c r="C49" s="47">
        <f>IF(37&lt;=PPF_years,PPF_amt,"")</f>
        <v/>
      </c>
      <c r="D49" s="47">
        <f>IF(37&lt;=PPF_years,IF(PPF_timing="Start",(B49+C49)*PPF_rate,B49*PPF_rate),"")</f>
        <v/>
      </c>
      <c r="E49" s="47">
        <f>IF(37&lt;=PPF_years,B49+C49+D49,"")</f>
        <v/>
      </c>
    </row>
    <row r="50" ht="15" customHeight="1" s="29">
      <c r="A50" s="48">
        <f>IF(38&lt;=PPF_years,38,"")</f>
        <v/>
      </c>
      <c r="B50" s="49">
        <f>IF(38&lt;=PPF_years,E49,"")</f>
        <v/>
      </c>
      <c r="C50" s="49">
        <f>IF(38&lt;=PPF_years,PPF_amt,"")</f>
        <v/>
      </c>
      <c r="D50" s="49">
        <f>IF(38&lt;=PPF_years,IF(PPF_timing="Start",(B50+C50)*PPF_rate,B50*PPF_rate),"")</f>
        <v/>
      </c>
      <c r="E50" s="49">
        <f>IF(38&lt;=PPF_years,B50+C50+D50,"")</f>
        <v/>
      </c>
    </row>
    <row r="51" ht="15" customHeight="1" s="29">
      <c r="A51" s="46">
        <f>IF(39&lt;=PPF_years,39,"")</f>
        <v/>
      </c>
      <c r="B51" s="47">
        <f>IF(39&lt;=PPF_years,E50,"")</f>
        <v/>
      </c>
      <c r="C51" s="47">
        <f>IF(39&lt;=PPF_years,PPF_amt,"")</f>
        <v/>
      </c>
      <c r="D51" s="47">
        <f>IF(39&lt;=PPF_years,IF(PPF_timing="Start",(B51+C51)*PPF_rate,B51*PPF_rate),"")</f>
        <v/>
      </c>
      <c r="E51" s="47">
        <f>IF(39&lt;=PPF_years,B51+C51+D51,"")</f>
        <v/>
      </c>
    </row>
    <row r="52" ht="15" customHeight="1" s="29">
      <c r="A52" s="48">
        <f>IF(40&lt;=PPF_years,40,"")</f>
        <v/>
      </c>
      <c r="B52" s="49">
        <f>IF(40&lt;=PPF_years,E51,"")</f>
        <v/>
      </c>
      <c r="C52" s="49">
        <f>IF(40&lt;=PPF_years,PPF_amt,"")</f>
        <v/>
      </c>
      <c r="D52" s="49">
        <f>IF(40&lt;=PPF_years,IF(PPF_timing="Start",(B52+C52)*PPF_rate,B52*PPF_rate),"")</f>
        <v/>
      </c>
      <c r="E52" s="49">
        <f>IF(40&lt;=PPF_years,B52+C52+D52,"")</f>
        <v/>
      </c>
    </row>
    <row r="53" ht="15" customHeight="1" s="29">
      <c r="A53" s="46">
        <f>IF(41&lt;=PPF_years,41,"")</f>
        <v/>
      </c>
      <c r="B53" s="47">
        <f>IF(41&lt;=PPF_years,E52,"")</f>
        <v/>
      </c>
      <c r="C53" s="47">
        <f>IF(41&lt;=PPF_years,PPF_amt,"")</f>
        <v/>
      </c>
      <c r="D53" s="47">
        <f>IF(41&lt;=PPF_years,IF(PPF_timing="Start",(B53+C53)*PPF_rate,B53*PPF_rate),"")</f>
        <v/>
      </c>
      <c r="E53" s="47">
        <f>IF(41&lt;=PPF_years,B53+C53+D53,"")</f>
        <v/>
      </c>
    </row>
    <row r="54" ht="15" customHeight="1" s="29">
      <c r="A54" s="48">
        <f>IF(42&lt;=PPF_years,42,"")</f>
        <v/>
      </c>
      <c r="B54" s="49">
        <f>IF(42&lt;=PPF_years,E53,"")</f>
        <v/>
      </c>
      <c r="C54" s="49">
        <f>IF(42&lt;=PPF_years,PPF_amt,"")</f>
        <v/>
      </c>
      <c r="D54" s="49">
        <f>IF(42&lt;=PPF_years,IF(PPF_timing="Start",(B54+C54)*PPF_rate,B54*PPF_rate),"")</f>
        <v/>
      </c>
      <c r="E54" s="49">
        <f>IF(42&lt;=PPF_years,B54+C54+D54,"")</f>
        <v/>
      </c>
    </row>
    <row r="55" ht="15" customHeight="1" s="29">
      <c r="A55" s="46">
        <f>IF(43&lt;=PPF_years,43,"")</f>
        <v/>
      </c>
      <c r="B55" s="47">
        <f>IF(43&lt;=PPF_years,E54,"")</f>
        <v/>
      </c>
      <c r="C55" s="47">
        <f>IF(43&lt;=PPF_years,PPF_amt,"")</f>
        <v/>
      </c>
      <c r="D55" s="47">
        <f>IF(43&lt;=PPF_years,IF(PPF_timing="Start",(B55+C55)*PPF_rate,B55*PPF_rate),"")</f>
        <v/>
      </c>
      <c r="E55" s="47">
        <f>IF(43&lt;=PPF_years,B55+C55+D55,"")</f>
        <v/>
      </c>
    </row>
    <row r="56" ht="15" customHeight="1" s="29">
      <c r="A56" s="48">
        <f>IF(44&lt;=PPF_years,44,"")</f>
        <v/>
      </c>
      <c r="B56" s="49">
        <f>IF(44&lt;=PPF_years,E55,"")</f>
        <v/>
      </c>
      <c r="C56" s="49">
        <f>IF(44&lt;=PPF_years,PPF_amt,"")</f>
        <v/>
      </c>
      <c r="D56" s="49">
        <f>IF(44&lt;=PPF_years,IF(PPF_timing="Start",(B56+C56)*PPF_rate,B56*PPF_rate),"")</f>
        <v/>
      </c>
      <c r="E56" s="49">
        <f>IF(44&lt;=PPF_years,B56+C56+D56,"")</f>
        <v/>
      </c>
    </row>
    <row r="57" ht="15" customHeight="1" s="29">
      <c r="A57" s="46">
        <f>IF(45&lt;=PPF_years,45,"")</f>
        <v/>
      </c>
      <c r="B57" s="47">
        <f>IF(45&lt;=PPF_years,E56,"")</f>
        <v/>
      </c>
      <c r="C57" s="47">
        <f>IF(45&lt;=PPF_years,PPF_amt,"")</f>
        <v/>
      </c>
      <c r="D57" s="47">
        <f>IF(45&lt;=PPF_years,IF(PPF_timing="Start",(B57+C57)*PPF_rate,B57*PPF_rate),"")</f>
        <v/>
      </c>
      <c r="E57" s="47">
        <f>IF(45&lt;=PPF_years,B57+C57+D57,"")</f>
        <v/>
      </c>
    </row>
    <row r="58" ht="15" customHeight="1" s="29">
      <c r="A58" s="48">
        <f>IF(46&lt;=PPF_years,46,"")</f>
        <v/>
      </c>
      <c r="B58" s="49">
        <f>IF(46&lt;=PPF_years,E57,"")</f>
        <v/>
      </c>
      <c r="C58" s="49">
        <f>IF(46&lt;=PPF_years,PPF_amt,"")</f>
        <v/>
      </c>
      <c r="D58" s="49">
        <f>IF(46&lt;=PPF_years,IF(PPF_timing="Start",(B58+C58)*PPF_rate,B58*PPF_rate),"")</f>
        <v/>
      </c>
      <c r="E58" s="49">
        <f>IF(46&lt;=PPF_years,B58+C58+D58,"")</f>
        <v/>
      </c>
    </row>
    <row r="59" ht="15" customHeight="1" s="29">
      <c r="A59" s="46">
        <f>IF(47&lt;=PPF_years,47,"")</f>
        <v/>
      </c>
      <c r="B59" s="47">
        <f>IF(47&lt;=PPF_years,E58,"")</f>
        <v/>
      </c>
      <c r="C59" s="47">
        <f>IF(47&lt;=PPF_years,PPF_amt,"")</f>
        <v/>
      </c>
      <c r="D59" s="47">
        <f>IF(47&lt;=PPF_years,IF(PPF_timing="Start",(B59+C59)*PPF_rate,B59*PPF_rate),"")</f>
        <v/>
      </c>
      <c r="E59" s="47">
        <f>IF(47&lt;=PPF_years,B59+C59+D59,"")</f>
        <v/>
      </c>
    </row>
    <row r="60" ht="15" customHeight="1" s="29">
      <c r="A60" s="48">
        <f>IF(48&lt;=PPF_years,48,"")</f>
        <v/>
      </c>
      <c r="B60" s="49">
        <f>IF(48&lt;=PPF_years,E59,"")</f>
        <v/>
      </c>
      <c r="C60" s="49">
        <f>IF(48&lt;=PPF_years,PPF_amt,"")</f>
        <v/>
      </c>
      <c r="D60" s="49">
        <f>IF(48&lt;=PPF_years,IF(PPF_timing="Start",(B60+C60)*PPF_rate,B60*PPF_rate),"")</f>
        <v/>
      </c>
      <c r="E60" s="49">
        <f>IF(48&lt;=PPF_years,B60+C60+D60,"")</f>
        <v/>
      </c>
    </row>
    <row r="61" ht="15" customHeight="1" s="29">
      <c r="A61" s="46">
        <f>IF(49&lt;=PPF_years,49,"")</f>
        <v/>
      </c>
      <c r="B61" s="47">
        <f>IF(49&lt;=PPF_years,E60,"")</f>
        <v/>
      </c>
      <c r="C61" s="47">
        <f>IF(49&lt;=PPF_years,PPF_amt,"")</f>
        <v/>
      </c>
      <c r="D61" s="47">
        <f>IF(49&lt;=PPF_years,IF(PPF_timing="Start",(B61+C61)*PPF_rate,B61*PPF_rate),"")</f>
        <v/>
      </c>
      <c r="E61" s="47">
        <f>IF(49&lt;=PPF_years,B61+C61+D61,"")</f>
        <v/>
      </c>
    </row>
    <row r="62" ht="15" customHeight="1" s="29">
      <c r="A62" s="48">
        <f>IF(50&lt;=PPF_years,50,"")</f>
        <v/>
      </c>
      <c r="B62" s="49">
        <f>IF(50&lt;=PPF_years,E61,"")</f>
        <v/>
      </c>
      <c r="C62" s="49">
        <f>IF(50&lt;=PPF_years,PPF_amt,"")</f>
        <v/>
      </c>
      <c r="D62" s="49">
        <f>IF(50&lt;=PPF_years,IF(PPF_timing="Start",(B62+C62)*PPF_rate,B62*PPF_rate),"")</f>
        <v/>
      </c>
      <c r="E62" s="49">
        <f>IF(50&lt;=PPF_years,B62+C62+D62,"")</f>
        <v/>
      </c>
    </row>
    <row r="63"/>
    <row r="64" ht="15" customHeight="1" s="29">
      <c r="B64" s="50" t="inlineStr">
        <is>
          <t>Total invested</t>
        </is>
      </c>
      <c r="C64" s="51">
        <f>SUMIF(A13:A62,"&lt;="&amp;PPF_years,C13:C62)</f>
        <v/>
      </c>
    </row>
    <row r="65" ht="15" customHeight="1" s="29">
      <c r="B65" s="50" t="inlineStr">
        <is>
          <t>Total interest earned</t>
        </is>
      </c>
      <c r="C65" s="51">
        <f>INDEX(E13:E62,PPF_years)-SUMIF(A13:A62,"&lt;="&amp;PPF_years,C13:C62)</f>
        <v/>
      </c>
    </row>
    <row r="66" ht="15" customHeight="1" s="29">
      <c r="B66" s="52" t="inlineStr">
        <is>
          <t>Maturity value</t>
        </is>
      </c>
      <c r="C66" s="53">
        <f>INDEX(E13:E62,PPF_years)</f>
        <v/>
      </c>
    </row>
    <row r="67"/>
    <row r="68" ht="15" customHeight="1" s="29">
      <c r="A68" s="38" t="inlineStr">
        <is>
          <t>Prepared by CA Tirumalesh Malla  |  calcguru.in  |  Free CA working files &amp; calculators</t>
        </is>
      </c>
    </row>
  </sheetData>
  <sheetProtection selectLockedCells="0" selectUnlockedCells="0" sheet="1" objects="0" insertRows="1" insertHyperlinks="1" autoFilter="0" scenarios="0" formatColumns="0" deleteColumns="1" insertColumns="0" pivotTables="1" deleteRows="1" formatCells="0" formatRows="0" sort="0" password="BBBC"/>
  <mergeCells count="4">
    <mergeCell ref="A3:G3"/>
    <mergeCell ref="A2:G2"/>
    <mergeCell ref="A1:G1"/>
    <mergeCell ref="A68:G68"/>
  </mergeCells>
  <dataValidations count="1">
    <dataValidation sqref="C9" showDropDown="0" showInputMessage="0" showErrorMessage="0" allowBlank="0" type="list" errorStyle="stop" operator="between">
      <formula1>"Start,End"</formula1>
      <formula2>0</formula2>
    </dataValidation>
  </dataValidation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3.xml><?xml version="1.0" encoding="utf-8"?>
<worksheet xmlns="http://schemas.openxmlformats.org/spreadsheetml/2006/main">
  <sheetPr filterMode="0">
    <outlinePr summaryBelow="1" summaryRight="1"/>
    <pageSetUpPr fitToPage="0"/>
  </sheetPr>
  <dimension ref="A1:G67"/>
  <sheetViews>
    <sheetView showFormulas="0" showGridLines="0" showRowColHeaders="1" showZeros="1" rightToLeft="0" tabSelected="0" showOutlineSymbols="1" defaultGridColor="1" view="normal" topLeftCell="A1" colorId="64" zoomScale="100" zoomScaleNormal="100" zoomScalePageLayoutView="100" workbookViewId="0">
      <pane xSplit="0" ySplit="11" topLeftCell="A12" activePane="bottomLeft" state="frozen"/>
      <selection pane="topLeft" activeCell="A1" activeCellId="0" sqref="A1"/>
      <selection pane="bottomLeft" activeCell="A1" activeCellId="0" sqref="A1"/>
    </sheetView>
  </sheetViews>
  <sheetFormatPr baseColWidth="8" defaultColWidth="8.6796875" defaultRowHeight="15" customHeight="0" zeroHeight="0" outlineLevelRow="0"/>
  <cols>
    <col width="8" customWidth="1" style="28" min="1" max="1"/>
    <col width="18" customWidth="1" style="28" min="2" max="2"/>
    <col width="15" customWidth="1" style="28" min="3" max="7"/>
  </cols>
  <sheetData>
    <row r="1" ht="27.75" customHeight="1" s="29">
      <c r="A1" s="30" t="inlineStr">
        <is>
          <t>CalcGuru</t>
        </is>
      </c>
    </row>
    <row r="2" ht="19.5" customHeight="1" s="29">
      <c r="A2" s="31" t="inlineStr">
        <is>
          <t>PPF Calculator (Monthly Deposit)</t>
        </is>
      </c>
    </row>
    <row r="3" ht="15.75" customHeight="1" s="29">
      <c r="A3" s="32" t="inlineStr">
        <is>
          <t>Equal monthly deposits on/before the 5th - exact min-balance interest</t>
        </is>
      </c>
    </row>
    <row r="4"/>
    <row r="5" ht="15" customHeight="1" s="29">
      <c r="B5" s="33" t="inlineStr">
        <is>
          <t>Inputs</t>
        </is>
      </c>
    </row>
    <row r="6" ht="17.9" customHeight="1" s="29">
      <c r="B6" s="39" t="inlineStr">
        <is>
          <t>Monthly deposit (Rs)</t>
        </is>
      </c>
      <c r="C6" s="40" t="n">
        <v>12500</v>
      </c>
      <c r="E6" s="41" t="inlineStr">
        <is>
          <t>&lt;- Rs 12,500 x 12 = Rs 1.5L/yr (max)</t>
        </is>
      </c>
    </row>
    <row r="7" ht="15" customHeight="1" s="29">
      <c r="B7" s="39" t="inlineStr">
        <is>
          <t>Interest rate (p.a.)</t>
        </is>
      </c>
      <c r="C7" s="42" t="n">
        <v>0.07099999999999999</v>
      </c>
    </row>
    <row r="8" ht="15" customHeight="1" s="29">
      <c r="B8" s="39" t="inlineStr">
        <is>
          <t>Tenure (years)</t>
        </is>
      </c>
      <c r="C8" s="43" t="n">
        <v>15</v>
      </c>
    </row>
    <row r="9" ht="15" customHeight="1" s="29">
      <c r="D9" s="54" t="inlineStr">
        <is>
          <t>Annual deposit:</t>
        </is>
      </c>
      <c r="E9" s="55">
        <f>PM_amt*12</f>
        <v/>
      </c>
    </row>
    <row r="10" ht="15" customHeight="1" s="29">
      <c r="B10" s="56" t="inlineStr">
        <is>
          <t>Year-wise passbook (interest = opening*r + 6.5*monthly*r, per min-balance rule)</t>
        </is>
      </c>
    </row>
    <row r="11" ht="15" customHeight="1" s="29">
      <c r="A11" s="45" t="inlineStr">
        <is>
          <t>Year</t>
        </is>
      </c>
      <c r="B11" s="45" t="inlineStr">
        <is>
          <t>Opening Balance</t>
        </is>
      </c>
      <c r="C11" s="45" t="inlineStr">
        <is>
          <t>Deposits (12)</t>
        </is>
      </c>
      <c r="D11" s="45" t="inlineStr">
        <is>
          <t>Interest</t>
        </is>
      </c>
      <c r="E11" s="45" t="inlineStr">
        <is>
          <t>Closing Balance</t>
        </is>
      </c>
    </row>
    <row r="12" ht="15" customHeight="1" s="29">
      <c r="A12" s="46">
        <f>IF(1&lt;=PM_years,1,"")</f>
        <v/>
      </c>
      <c r="B12" s="47">
        <f>IF(1&lt;=PM_years,0,"")</f>
        <v/>
      </c>
      <c r="C12" s="47">
        <f>IF(1&lt;=PM_years,PM_amt*12,"")</f>
        <v/>
      </c>
      <c r="D12" s="47">
        <f>IF(1&lt;=PM_years,B12*PM_rate+PM_amt*PM_rate*78/12,"")</f>
        <v/>
      </c>
      <c r="E12" s="47">
        <f>IF(1&lt;=PM_years,B12+C12+D12,"")</f>
        <v/>
      </c>
    </row>
    <row r="13" ht="15" customHeight="1" s="29">
      <c r="A13" s="48">
        <f>IF(2&lt;=PM_years,2,"")</f>
        <v/>
      </c>
      <c r="B13" s="49">
        <f>IF(2&lt;=PM_years,E12,"")</f>
        <v/>
      </c>
      <c r="C13" s="49">
        <f>IF(2&lt;=PM_years,PM_amt*12,"")</f>
        <v/>
      </c>
      <c r="D13" s="49">
        <f>IF(2&lt;=PM_years,B13*PM_rate+PM_amt*PM_rate*78/12,"")</f>
        <v/>
      </c>
      <c r="E13" s="49">
        <f>IF(2&lt;=PM_years,B13+C13+D13,"")</f>
        <v/>
      </c>
    </row>
    <row r="14" ht="15" customHeight="1" s="29">
      <c r="A14" s="46">
        <f>IF(3&lt;=PM_years,3,"")</f>
        <v/>
      </c>
      <c r="B14" s="47">
        <f>IF(3&lt;=PM_years,E13,"")</f>
        <v/>
      </c>
      <c r="C14" s="47">
        <f>IF(3&lt;=PM_years,PM_amt*12,"")</f>
        <v/>
      </c>
      <c r="D14" s="47">
        <f>IF(3&lt;=PM_years,B14*PM_rate+PM_amt*PM_rate*78/12,"")</f>
        <v/>
      </c>
      <c r="E14" s="47">
        <f>IF(3&lt;=PM_years,B14+C14+D14,"")</f>
        <v/>
      </c>
    </row>
    <row r="15" ht="15" customHeight="1" s="29">
      <c r="A15" s="48">
        <f>IF(4&lt;=PM_years,4,"")</f>
        <v/>
      </c>
      <c r="B15" s="49">
        <f>IF(4&lt;=PM_years,E14,"")</f>
        <v/>
      </c>
      <c r="C15" s="49">
        <f>IF(4&lt;=PM_years,PM_amt*12,"")</f>
        <v/>
      </c>
      <c r="D15" s="49">
        <f>IF(4&lt;=PM_years,B15*PM_rate+PM_amt*PM_rate*78/12,"")</f>
        <v/>
      </c>
      <c r="E15" s="49">
        <f>IF(4&lt;=PM_years,B15+C15+D15,"")</f>
        <v/>
      </c>
    </row>
    <row r="16" ht="15" customHeight="1" s="29">
      <c r="A16" s="46">
        <f>IF(5&lt;=PM_years,5,"")</f>
        <v/>
      </c>
      <c r="B16" s="47">
        <f>IF(5&lt;=PM_years,E15,"")</f>
        <v/>
      </c>
      <c r="C16" s="47">
        <f>IF(5&lt;=PM_years,PM_amt*12,"")</f>
        <v/>
      </c>
      <c r="D16" s="47">
        <f>IF(5&lt;=PM_years,B16*PM_rate+PM_amt*PM_rate*78/12,"")</f>
        <v/>
      </c>
      <c r="E16" s="47">
        <f>IF(5&lt;=PM_years,B16+C16+D16,"")</f>
        <v/>
      </c>
    </row>
    <row r="17" ht="15" customHeight="1" s="29">
      <c r="A17" s="48">
        <f>IF(6&lt;=PM_years,6,"")</f>
        <v/>
      </c>
      <c r="B17" s="49">
        <f>IF(6&lt;=PM_years,E16,"")</f>
        <v/>
      </c>
      <c r="C17" s="49">
        <f>IF(6&lt;=PM_years,PM_amt*12,"")</f>
        <v/>
      </c>
      <c r="D17" s="49">
        <f>IF(6&lt;=PM_years,B17*PM_rate+PM_amt*PM_rate*78/12,"")</f>
        <v/>
      </c>
      <c r="E17" s="49">
        <f>IF(6&lt;=PM_years,B17+C17+D17,"")</f>
        <v/>
      </c>
    </row>
    <row r="18" ht="15" customHeight="1" s="29">
      <c r="A18" s="46">
        <f>IF(7&lt;=PM_years,7,"")</f>
        <v/>
      </c>
      <c r="B18" s="47">
        <f>IF(7&lt;=PM_years,E17,"")</f>
        <v/>
      </c>
      <c r="C18" s="47">
        <f>IF(7&lt;=PM_years,PM_amt*12,"")</f>
        <v/>
      </c>
      <c r="D18" s="47">
        <f>IF(7&lt;=PM_years,B18*PM_rate+PM_amt*PM_rate*78/12,"")</f>
        <v/>
      </c>
      <c r="E18" s="47">
        <f>IF(7&lt;=PM_years,B18+C18+D18,"")</f>
        <v/>
      </c>
    </row>
    <row r="19" ht="15" customHeight="1" s="29">
      <c r="A19" s="48">
        <f>IF(8&lt;=PM_years,8,"")</f>
        <v/>
      </c>
      <c r="B19" s="49">
        <f>IF(8&lt;=PM_years,E18,"")</f>
        <v/>
      </c>
      <c r="C19" s="49">
        <f>IF(8&lt;=PM_years,PM_amt*12,"")</f>
        <v/>
      </c>
      <c r="D19" s="49">
        <f>IF(8&lt;=PM_years,B19*PM_rate+PM_amt*PM_rate*78/12,"")</f>
        <v/>
      </c>
      <c r="E19" s="49">
        <f>IF(8&lt;=PM_years,B19+C19+D19,"")</f>
        <v/>
      </c>
    </row>
    <row r="20" ht="15" customHeight="1" s="29">
      <c r="A20" s="46">
        <f>IF(9&lt;=PM_years,9,"")</f>
        <v/>
      </c>
      <c r="B20" s="47">
        <f>IF(9&lt;=PM_years,E19,"")</f>
        <v/>
      </c>
      <c r="C20" s="47">
        <f>IF(9&lt;=PM_years,PM_amt*12,"")</f>
        <v/>
      </c>
      <c r="D20" s="47">
        <f>IF(9&lt;=PM_years,B20*PM_rate+PM_amt*PM_rate*78/12,"")</f>
        <v/>
      </c>
      <c r="E20" s="47">
        <f>IF(9&lt;=PM_years,B20+C20+D20,"")</f>
        <v/>
      </c>
    </row>
    <row r="21" ht="15" customHeight="1" s="29">
      <c r="A21" s="48">
        <f>IF(10&lt;=PM_years,10,"")</f>
        <v/>
      </c>
      <c r="B21" s="49">
        <f>IF(10&lt;=PM_years,E20,"")</f>
        <v/>
      </c>
      <c r="C21" s="49">
        <f>IF(10&lt;=PM_years,PM_amt*12,"")</f>
        <v/>
      </c>
      <c r="D21" s="49">
        <f>IF(10&lt;=PM_years,B21*PM_rate+PM_amt*PM_rate*78/12,"")</f>
        <v/>
      </c>
      <c r="E21" s="49">
        <f>IF(10&lt;=PM_years,B21+C21+D21,"")</f>
        <v/>
      </c>
    </row>
    <row r="22" ht="15" customHeight="1" s="29">
      <c r="A22" s="46">
        <f>IF(11&lt;=PM_years,11,"")</f>
        <v/>
      </c>
      <c r="B22" s="47">
        <f>IF(11&lt;=PM_years,E21,"")</f>
        <v/>
      </c>
      <c r="C22" s="47">
        <f>IF(11&lt;=PM_years,PM_amt*12,"")</f>
        <v/>
      </c>
      <c r="D22" s="47">
        <f>IF(11&lt;=PM_years,B22*PM_rate+PM_amt*PM_rate*78/12,"")</f>
        <v/>
      </c>
      <c r="E22" s="47">
        <f>IF(11&lt;=PM_years,B22+C22+D22,"")</f>
        <v/>
      </c>
    </row>
    <row r="23" ht="15" customHeight="1" s="29">
      <c r="A23" s="48">
        <f>IF(12&lt;=PM_years,12,"")</f>
        <v/>
      </c>
      <c r="B23" s="49">
        <f>IF(12&lt;=PM_years,E22,"")</f>
        <v/>
      </c>
      <c r="C23" s="49">
        <f>IF(12&lt;=PM_years,PM_amt*12,"")</f>
        <v/>
      </c>
      <c r="D23" s="49">
        <f>IF(12&lt;=PM_years,B23*PM_rate+PM_amt*PM_rate*78/12,"")</f>
        <v/>
      </c>
      <c r="E23" s="49">
        <f>IF(12&lt;=PM_years,B23+C23+D23,"")</f>
        <v/>
      </c>
    </row>
    <row r="24" ht="15" customHeight="1" s="29">
      <c r="A24" s="46">
        <f>IF(13&lt;=PM_years,13,"")</f>
        <v/>
      </c>
      <c r="B24" s="47">
        <f>IF(13&lt;=PM_years,E23,"")</f>
        <v/>
      </c>
      <c r="C24" s="47">
        <f>IF(13&lt;=PM_years,PM_amt*12,"")</f>
        <v/>
      </c>
      <c r="D24" s="47">
        <f>IF(13&lt;=PM_years,B24*PM_rate+PM_amt*PM_rate*78/12,"")</f>
        <v/>
      </c>
      <c r="E24" s="47">
        <f>IF(13&lt;=PM_years,B24+C24+D24,"")</f>
        <v/>
      </c>
    </row>
    <row r="25" ht="15" customHeight="1" s="29">
      <c r="A25" s="48">
        <f>IF(14&lt;=PM_years,14,"")</f>
        <v/>
      </c>
      <c r="B25" s="49">
        <f>IF(14&lt;=PM_years,E24,"")</f>
        <v/>
      </c>
      <c r="C25" s="49">
        <f>IF(14&lt;=PM_years,PM_amt*12,"")</f>
        <v/>
      </c>
      <c r="D25" s="49">
        <f>IF(14&lt;=PM_years,B25*PM_rate+PM_amt*PM_rate*78/12,"")</f>
        <v/>
      </c>
      <c r="E25" s="49">
        <f>IF(14&lt;=PM_years,B25+C25+D25,"")</f>
        <v/>
      </c>
    </row>
    <row r="26" ht="15" customHeight="1" s="29">
      <c r="A26" s="46">
        <f>IF(15&lt;=PM_years,15,"")</f>
        <v/>
      </c>
      <c r="B26" s="47">
        <f>IF(15&lt;=PM_years,E25,"")</f>
        <v/>
      </c>
      <c r="C26" s="47">
        <f>IF(15&lt;=PM_years,PM_amt*12,"")</f>
        <v/>
      </c>
      <c r="D26" s="47">
        <f>IF(15&lt;=PM_years,B26*PM_rate+PM_amt*PM_rate*78/12,"")</f>
        <v/>
      </c>
      <c r="E26" s="47">
        <f>IF(15&lt;=PM_years,B26+C26+D26,"")</f>
        <v/>
      </c>
    </row>
    <row r="27" ht="15" customHeight="1" s="29">
      <c r="A27" s="48">
        <f>IF(16&lt;=PM_years,16,"")</f>
        <v/>
      </c>
      <c r="B27" s="49">
        <f>IF(16&lt;=PM_years,E26,"")</f>
        <v/>
      </c>
      <c r="C27" s="49">
        <f>IF(16&lt;=PM_years,PM_amt*12,"")</f>
        <v/>
      </c>
      <c r="D27" s="49">
        <f>IF(16&lt;=PM_years,B27*PM_rate+PM_amt*PM_rate*78/12,"")</f>
        <v/>
      </c>
      <c r="E27" s="49">
        <f>IF(16&lt;=PM_years,B27+C27+D27,"")</f>
        <v/>
      </c>
    </row>
    <row r="28" ht="15" customHeight="1" s="29">
      <c r="A28" s="46">
        <f>IF(17&lt;=PM_years,17,"")</f>
        <v/>
      </c>
      <c r="B28" s="47">
        <f>IF(17&lt;=PM_years,E27,"")</f>
        <v/>
      </c>
      <c r="C28" s="47">
        <f>IF(17&lt;=PM_years,PM_amt*12,"")</f>
        <v/>
      </c>
      <c r="D28" s="47">
        <f>IF(17&lt;=PM_years,B28*PM_rate+PM_amt*PM_rate*78/12,"")</f>
        <v/>
      </c>
      <c r="E28" s="47">
        <f>IF(17&lt;=PM_years,B28+C28+D28,"")</f>
        <v/>
      </c>
    </row>
    <row r="29" ht="15" customHeight="1" s="29">
      <c r="A29" s="48">
        <f>IF(18&lt;=PM_years,18,"")</f>
        <v/>
      </c>
      <c r="B29" s="49">
        <f>IF(18&lt;=PM_years,E28,"")</f>
        <v/>
      </c>
      <c r="C29" s="49">
        <f>IF(18&lt;=PM_years,PM_amt*12,"")</f>
        <v/>
      </c>
      <c r="D29" s="49">
        <f>IF(18&lt;=PM_years,B29*PM_rate+PM_amt*PM_rate*78/12,"")</f>
        <v/>
      </c>
      <c r="E29" s="49">
        <f>IF(18&lt;=PM_years,B29+C29+D29,"")</f>
        <v/>
      </c>
    </row>
    <row r="30" ht="15" customHeight="1" s="29">
      <c r="A30" s="46">
        <f>IF(19&lt;=PM_years,19,"")</f>
        <v/>
      </c>
      <c r="B30" s="47">
        <f>IF(19&lt;=PM_years,E29,"")</f>
        <v/>
      </c>
      <c r="C30" s="47">
        <f>IF(19&lt;=PM_years,PM_amt*12,"")</f>
        <v/>
      </c>
      <c r="D30" s="47">
        <f>IF(19&lt;=PM_years,B30*PM_rate+PM_amt*PM_rate*78/12,"")</f>
        <v/>
      </c>
      <c r="E30" s="47">
        <f>IF(19&lt;=PM_years,B30+C30+D30,"")</f>
        <v/>
      </c>
    </row>
    <row r="31" ht="15" customHeight="1" s="29">
      <c r="A31" s="48">
        <f>IF(20&lt;=PM_years,20,"")</f>
        <v/>
      </c>
      <c r="B31" s="49">
        <f>IF(20&lt;=PM_years,E30,"")</f>
        <v/>
      </c>
      <c r="C31" s="49">
        <f>IF(20&lt;=PM_years,PM_amt*12,"")</f>
        <v/>
      </c>
      <c r="D31" s="49">
        <f>IF(20&lt;=PM_years,B31*PM_rate+PM_amt*PM_rate*78/12,"")</f>
        <v/>
      </c>
      <c r="E31" s="49">
        <f>IF(20&lt;=PM_years,B31+C31+D31,"")</f>
        <v/>
      </c>
    </row>
    <row r="32" ht="15" customHeight="1" s="29">
      <c r="A32" s="46">
        <f>IF(21&lt;=PM_years,21,"")</f>
        <v/>
      </c>
      <c r="B32" s="47">
        <f>IF(21&lt;=PM_years,E31,"")</f>
        <v/>
      </c>
      <c r="C32" s="47">
        <f>IF(21&lt;=PM_years,PM_amt*12,"")</f>
        <v/>
      </c>
      <c r="D32" s="47">
        <f>IF(21&lt;=PM_years,B32*PM_rate+PM_amt*PM_rate*78/12,"")</f>
        <v/>
      </c>
      <c r="E32" s="47">
        <f>IF(21&lt;=PM_years,B32+C32+D32,"")</f>
        <v/>
      </c>
    </row>
    <row r="33" ht="15" customHeight="1" s="29">
      <c r="A33" s="48">
        <f>IF(22&lt;=PM_years,22,"")</f>
        <v/>
      </c>
      <c r="B33" s="49">
        <f>IF(22&lt;=PM_years,E32,"")</f>
        <v/>
      </c>
      <c r="C33" s="49">
        <f>IF(22&lt;=PM_years,PM_amt*12,"")</f>
        <v/>
      </c>
      <c r="D33" s="49">
        <f>IF(22&lt;=PM_years,B33*PM_rate+PM_amt*PM_rate*78/12,"")</f>
        <v/>
      </c>
      <c r="E33" s="49">
        <f>IF(22&lt;=PM_years,B33+C33+D33,"")</f>
        <v/>
      </c>
    </row>
    <row r="34" ht="15" customHeight="1" s="29">
      <c r="A34" s="46">
        <f>IF(23&lt;=PM_years,23,"")</f>
        <v/>
      </c>
      <c r="B34" s="47">
        <f>IF(23&lt;=PM_years,E33,"")</f>
        <v/>
      </c>
      <c r="C34" s="47">
        <f>IF(23&lt;=PM_years,PM_amt*12,"")</f>
        <v/>
      </c>
      <c r="D34" s="47">
        <f>IF(23&lt;=PM_years,B34*PM_rate+PM_amt*PM_rate*78/12,"")</f>
        <v/>
      </c>
      <c r="E34" s="47">
        <f>IF(23&lt;=PM_years,B34+C34+D34,"")</f>
        <v/>
      </c>
    </row>
    <row r="35" ht="15" customHeight="1" s="29">
      <c r="A35" s="48">
        <f>IF(24&lt;=PM_years,24,"")</f>
        <v/>
      </c>
      <c r="B35" s="49">
        <f>IF(24&lt;=PM_years,E34,"")</f>
        <v/>
      </c>
      <c r="C35" s="49">
        <f>IF(24&lt;=PM_years,PM_amt*12,"")</f>
        <v/>
      </c>
      <c r="D35" s="49">
        <f>IF(24&lt;=PM_years,B35*PM_rate+PM_amt*PM_rate*78/12,"")</f>
        <v/>
      </c>
      <c r="E35" s="49">
        <f>IF(24&lt;=PM_years,B35+C35+D35,"")</f>
        <v/>
      </c>
    </row>
    <row r="36" ht="15" customHeight="1" s="29">
      <c r="A36" s="46">
        <f>IF(25&lt;=PM_years,25,"")</f>
        <v/>
      </c>
      <c r="B36" s="47">
        <f>IF(25&lt;=PM_years,E35,"")</f>
        <v/>
      </c>
      <c r="C36" s="47">
        <f>IF(25&lt;=PM_years,PM_amt*12,"")</f>
        <v/>
      </c>
      <c r="D36" s="47">
        <f>IF(25&lt;=PM_years,B36*PM_rate+PM_amt*PM_rate*78/12,"")</f>
        <v/>
      </c>
      <c r="E36" s="47">
        <f>IF(25&lt;=PM_years,B36+C36+D36,"")</f>
        <v/>
      </c>
    </row>
    <row r="37" ht="15" customHeight="1" s="29">
      <c r="A37" s="48">
        <f>IF(26&lt;=PM_years,26,"")</f>
        <v/>
      </c>
      <c r="B37" s="49">
        <f>IF(26&lt;=PM_years,E36,"")</f>
        <v/>
      </c>
      <c r="C37" s="49">
        <f>IF(26&lt;=PM_years,PM_amt*12,"")</f>
        <v/>
      </c>
      <c r="D37" s="49">
        <f>IF(26&lt;=PM_years,B37*PM_rate+PM_amt*PM_rate*78/12,"")</f>
        <v/>
      </c>
      <c r="E37" s="49">
        <f>IF(26&lt;=PM_years,B37+C37+D37,"")</f>
        <v/>
      </c>
    </row>
    <row r="38" ht="15" customHeight="1" s="29">
      <c r="A38" s="46">
        <f>IF(27&lt;=PM_years,27,"")</f>
        <v/>
      </c>
      <c r="B38" s="47">
        <f>IF(27&lt;=PM_years,E37,"")</f>
        <v/>
      </c>
      <c r="C38" s="47">
        <f>IF(27&lt;=PM_years,PM_amt*12,"")</f>
        <v/>
      </c>
      <c r="D38" s="47">
        <f>IF(27&lt;=PM_years,B38*PM_rate+PM_amt*PM_rate*78/12,"")</f>
        <v/>
      </c>
      <c r="E38" s="47">
        <f>IF(27&lt;=PM_years,B38+C38+D38,"")</f>
        <v/>
      </c>
    </row>
    <row r="39" ht="15" customHeight="1" s="29">
      <c r="A39" s="48">
        <f>IF(28&lt;=PM_years,28,"")</f>
        <v/>
      </c>
      <c r="B39" s="49">
        <f>IF(28&lt;=PM_years,E38,"")</f>
        <v/>
      </c>
      <c r="C39" s="49">
        <f>IF(28&lt;=PM_years,PM_amt*12,"")</f>
        <v/>
      </c>
      <c r="D39" s="49">
        <f>IF(28&lt;=PM_years,B39*PM_rate+PM_amt*PM_rate*78/12,"")</f>
        <v/>
      </c>
      <c r="E39" s="49">
        <f>IF(28&lt;=PM_years,B39+C39+D39,"")</f>
        <v/>
      </c>
    </row>
    <row r="40" ht="15" customHeight="1" s="29">
      <c r="A40" s="46">
        <f>IF(29&lt;=PM_years,29,"")</f>
        <v/>
      </c>
      <c r="B40" s="47">
        <f>IF(29&lt;=PM_years,E39,"")</f>
        <v/>
      </c>
      <c r="C40" s="47">
        <f>IF(29&lt;=PM_years,PM_amt*12,"")</f>
        <v/>
      </c>
      <c r="D40" s="47">
        <f>IF(29&lt;=PM_years,B40*PM_rate+PM_amt*PM_rate*78/12,"")</f>
        <v/>
      </c>
      <c r="E40" s="47">
        <f>IF(29&lt;=PM_years,B40+C40+D40,"")</f>
        <v/>
      </c>
    </row>
    <row r="41" ht="15" customHeight="1" s="29">
      <c r="A41" s="48">
        <f>IF(30&lt;=PM_years,30,"")</f>
        <v/>
      </c>
      <c r="B41" s="49">
        <f>IF(30&lt;=PM_years,E40,"")</f>
        <v/>
      </c>
      <c r="C41" s="49">
        <f>IF(30&lt;=PM_years,PM_amt*12,"")</f>
        <v/>
      </c>
      <c r="D41" s="49">
        <f>IF(30&lt;=PM_years,B41*PM_rate+PM_amt*PM_rate*78/12,"")</f>
        <v/>
      </c>
      <c r="E41" s="49">
        <f>IF(30&lt;=PM_years,B41+C41+D41,"")</f>
        <v/>
      </c>
    </row>
    <row r="42" ht="15" customHeight="1" s="29">
      <c r="A42" s="46">
        <f>IF(31&lt;=PM_years,31,"")</f>
        <v/>
      </c>
      <c r="B42" s="47">
        <f>IF(31&lt;=PM_years,E41,"")</f>
        <v/>
      </c>
      <c r="C42" s="47">
        <f>IF(31&lt;=PM_years,PM_amt*12,"")</f>
        <v/>
      </c>
      <c r="D42" s="47">
        <f>IF(31&lt;=PM_years,B42*PM_rate+PM_amt*PM_rate*78/12,"")</f>
        <v/>
      </c>
      <c r="E42" s="47">
        <f>IF(31&lt;=PM_years,B42+C42+D42,"")</f>
        <v/>
      </c>
    </row>
    <row r="43" ht="15" customHeight="1" s="29">
      <c r="A43" s="48">
        <f>IF(32&lt;=PM_years,32,"")</f>
        <v/>
      </c>
      <c r="B43" s="49">
        <f>IF(32&lt;=PM_years,E42,"")</f>
        <v/>
      </c>
      <c r="C43" s="49">
        <f>IF(32&lt;=PM_years,PM_amt*12,"")</f>
        <v/>
      </c>
      <c r="D43" s="49">
        <f>IF(32&lt;=PM_years,B43*PM_rate+PM_amt*PM_rate*78/12,"")</f>
        <v/>
      </c>
      <c r="E43" s="49">
        <f>IF(32&lt;=PM_years,B43+C43+D43,"")</f>
        <v/>
      </c>
    </row>
    <row r="44" ht="15" customHeight="1" s="29">
      <c r="A44" s="46">
        <f>IF(33&lt;=PM_years,33,"")</f>
        <v/>
      </c>
      <c r="B44" s="47">
        <f>IF(33&lt;=PM_years,E43,"")</f>
        <v/>
      </c>
      <c r="C44" s="47">
        <f>IF(33&lt;=PM_years,PM_amt*12,"")</f>
        <v/>
      </c>
      <c r="D44" s="47">
        <f>IF(33&lt;=PM_years,B44*PM_rate+PM_amt*PM_rate*78/12,"")</f>
        <v/>
      </c>
      <c r="E44" s="47">
        <f>IF(33&lt;=PM_years,B44+C44+D44,"")</f>
        <v/>
      </c>
    </row>
    <row r="45" ht="15" customHeight="1" s="29">
      <c r="A45" s="48">
        <f>IF(34&lt;=PM_years,34,"")</f>
        <v/>
      </c>
      <c r="B45" s="49">
        <f>IF(34&lt;=PM_years,E44,"")</f>
        <v/>
      </c>
      <c r="C45" s="49">
        <f>IF(34&lt;=PM_years,PM_amt*12,"")</f>
        <v/>
      </c>
      <c r="D45" s="49">
        <f>IF(34&lt;=PM_years,B45*PM_rate+PM_amt*PM_rate*78/12,"")</f>
        <v/>
      </c>
      <c r="E45" s="49">
        <f>IF(34&lt;=PM_years,B45+C45+D45,"")</f>
        <v/>
      </c>
    </row>
    <row r="46" ht="15" customHeight="1" s="29">
      <c r="A46" s="46">
        <f>IF(35&lt;=PM_years,35,"")</f>
        <v/>
      </c>
      <c r="B46" s="47">
        <f>IF(35&lt;=PM_years,E45,"")</f>
        <v/>
      </c>
      <c r="C46" s="47">
        <f>IF(35&lt;=PM_years,PM_amt*12,"")</f>
        <v/>
      </c>
      <c r="D46" s="47">
        <f>IF(35&lt;=PM_years,B46*PM_rate+PM_amt*PM_rate*78/12,"")</f>
        <v/>
      </c>
      <c r="E46" s="47">
        <f>IF(35&lt;=PM_years,B46+C46+D46,"")</f>
        <v/>
      </c>
    </row>
    <row r="47" ht="15" customHeight="1" s="29">
      <c r="A47" s="48">
        <f>IF(36&lt;=PM_years,36,"")</f>
        <v/>
      </c>
      <c r="B47" s="49">
        <f>IF(36&lt;=PM_years,E46,"")</f>
        <v/>
      </c>
      <c r="C47" s="49">
        <f>IF(36&lt;=PM_years,PM_amt*12,"")</f>
        <v/>
      </c>
      <c r="D47" s="49">
        <f>IF(36&lt;=PM_years,B47*PM_rate+PM_amt*PM_rate*78/12,"")</f>
        <v/>
      </c>
      <c r="E47" s="49">
        <f>IF(36&lt;=PM_years,B47+C47+D47,"")</f>
        <v/>
      </c>
    </row>
    <row r="48" ht="15" customHeight="1" s="29">
      <c r="A48" s="46">
        <f>IF(37&lt;=PM_years,37,"")</f>
        <v/>
      </c>
      <c r="B48" s="47">
        <f>IF(37&lt;=PM_years,E47,"")</f>
        <v/>
      </c>
      <c r="C48" s="47">
        <f>IF(37&lt;=PM_years,PM_amt*12,"")</f>
        <v/>
      </c>
      <c r="D48" s="47">
        <f>IF(37&lt;=PM_years,B48*PM_rate+PM_amt*PM_rate*78/12,"")</f>
        <v/>
      </c>
      <c r="E48" s="47">
        <f>IF(37&lt;=PM_years,B48+C48+D48,"")</f>
        <v/>
      </c>
    </row>
    <row r="49" ht="15" customHeight="1" s="29">
      <c r="A49" s="48">
        <f>IF(38&lt;=PM_years,38,"")</f>
        <v/>
      </c>
      <c r="B49" s="49">
        <f>IF(38&lt;=PM_years,E48,"")</f>
        <v/>
      </c>
      <c r="C49" s="49">
        <f>IF(38&lt;=PM_years,PM_amt*12,"")</f>
        <v/>
      </c>
      <c r="D49" s="49">
        <f>IF(38&lt;=PM_years,B49*PM_rate+PM_amt*PM_rate*78/12,"")</f>
        <v/>
      </c>
      <c r="E49" s="49">
        <f>IF(38&lt;=PM_years,B49+C49+D49,"")</f>
        <v/>
      </c>
    </row>
    <row r="50" ht="15" customHeight="1" s="29">
      <c r="A50" s="46">
        <f>IF(39&lt;=PM_years,39,"")</f>
        <v/>
      </c>
      <c r="B50" s="47">
        <f>IF(39&lt;=PM_years,E49,"")</f>
        <v/>
      </c>
      <c r="C50" s="47">
        <f>IF(39&lt;=PM_years,PM_amt*12,"")</f>
        <v/>
      </c>
      <c r="D50" s="47">
        <f>IF(39&lt;=PM_years,B50*PM_rate+PM_amt*PM_rate*78/12,"")</f>
        <v/>
      </c>
      <c r="E50" s="47">
        <f>IF(39&lt;=PM_years,B50+C50+D50,"")</f>
        <v/>
      </c>
    </row>
    <row r="51" ht="15" customHeight="1" s="29">
      <c r="A51" s="48">
        <f>IF(40&lt;=PM_years,40,"")</f>
        <v/>
      </c>
      <c r="B51" s="49">
        <f>IF(40&lt;=PM_years,E50,"")</f>
        <v/>
      </c>
      <c r="C51" s="49">
        <f>IF(40&lt;=PM_years,PM_amt*12,"")</f>
        <v/>
      </c>
      <c r="D51" s="49">
        <f>IF(40&lt;=PM_years,B51*PM_rate+PM_amt*PM_rate*78/12,"")</f>
        <v/>
      </c>
      <c r="E51" s="49">
        <f>IF(40&lt;=PM_years,B51+C51+D51,"")</f>
        <v/>
      </c>
    </row>
    <row r="52" ht="15" customHeight="1" s="29">
      <c r="A52" s="46">
        <f>IF(41&lt;=PM_years,41,"")</f>
        <v/>
      </c>
      <c r="B52" s="47">
        <f>IF(41&lt;=PM_years,E51,"")</f>
        <v/>
      </c>
      <c r="C52" s="47">
        <f>IF(41&lt;=PM_years,PM_amt*12,"")</f>
        <v/>
      </c>
      <c r="D52" s="47">
        <f>IF(41&lt;=PM_years,B52*PM_rate+PM_amt*PM_rate*78/12,"")</f>
        <v/>
      </c>
      <c r="E52" s="47">
        <f>IF(41&lt;=PM_years,B52+C52+D52,"")</f>
        <v/>
      </c>
    </row>
    <row r="53" ht="15" customHeight="1" s="29">
      <c r="A53" s="48">
        <f>IF(42&lt;=PM_years,42,"")</f>
        <v/>
      </c>
      <c r="B53" s="49">
        <f>IF(42&lt;=PM_years,E52,"")</f>
        <v/>
      </c>
      <c r="C53" s="49">
        <f>IF(42&lt;=PM_years,PM_amt*12,"")</f>
        <v/>
      </c>
      <c r="D53" s="49">
        <f>IF(42&lt;=PM_years,B53*PM_rate+PM_amt*PM_rate*78/12,"")</f>
        <v/>
      </c>
      <c r="E53" s="49">
        <f>IF(42&lt;=PM_years,B53+C53+D53,"")</f>
        <v/>
      </c>
    </row>
    <row r="54" ht="15" customHeight="1" s="29">
      <c r="A54" s="46">
        <f>IF(43&lt;=PM_years,43,"")</f>
        <v/>
      </c>
      <c r="B54" s="47">
        <f>IF(43&lt;=PM_years,E53,"")</f>
        <v/>
      </c>
      <c r="C54" s="47">
        <f>IF(43&lt;=PM_years,PM_amt*12,"")</f>
        <v/>
      </c>
      <c r="D54" s="47">
        <f>IF(43&lt;=PM_years,B54*PM_rate+PM_amt*PM_rate*78/12,"")</f>
        <v/>
      </c>
      <c r="E54" s="47">
        <f>IF(43&lt;=PM_years,B54+C54+D54,"")</f>
        <v/>
      </c>
    </row>
    <row r="55" ht="15" customHeight="1" s="29">
      <c r="A55" s="48">
        <f>IF(44&lt;=PM_years,44,"")</f>
        <v/>
      </c>
      <c r="B55" s="49">
        <f>IF(44&lt;=PM_years,E54,"")</f>
        <v/>
      </c>
      <c r="C55" s="49">
        <f>IF(44&lt;=PM_years,PM_amt*12,"")</f>
        <v/>
      </c>
      <c r="D55" s="49">
        <f>IF(44&lt;=PM_years,B55*PM_rate+PM_amt*PM_rate*78/12,"")</f>
        <v/>
      </c>
      <c r="E55" s="49">
        <f>IF(44&lt;=PM_years,B55+C55+D55,"")</f>
        <v/>
      </c>
    </row>
    <row r="56" ht="15" customHeight="1" s="29">
      <c r="A56" s="46">
        <f>IF(45&lt;=PM_years,45,"")</f>
        <v/>
      </c>
      <c r="B56" s="47">
        <f>IF(45&lt;=PM_years,E55,"")</f>
        <v/>
      </c>
      <c r="C56" s="47">
        <f>IF(45&lt;=PM_years,PM_amt*12,"")</f>
        <v/>
      </c>
      <c r="D56" s="47">
        <f>IF(45&lt;=PM_years,B56*PM_rate+PM_amt*PM_rate*78/12,"")</f>
        <v/>
      </c>
      <c r="E56" s="47">
        <f>IF(45&lt;=PM_years,B56+C56+D56,"")</f>
        <v/>
      </c>
    </row>
    <row r="57" ht="15" customHeight="1" s="29">
      <c r="A57" s="48">
        <f>IF(46&lt;=PM_years,46,"")</f>
        <v/>
      </c>
      <c r="B57" s="49">
        <f>IF(46&lt;=PM_years,E56,"")</f>
        <v/>
      </c>
      <c r="C57" s="49">
        <f>IF(46&lt;=PM_years,PM_amt*12,"")</f>
        <v/>
      </c>
      <c r="D57" s="49">
        <f>IF(46&lt;=PM_years,B57*PM_rate+PM_amt*PM_rate*78/12,"")</f>
        <v/>
      </c>
      <c r="E57" s="49">
        <f>IF(46&lt;=PM_years,B57+C57+D57,"")</f>
        <v/>
      </c>
    </row>
    <row r="58" ht="15" customHeight="1" s="29">
      <c r="A58" s="46">
        <f>IF(47&lt;=PM_years,47,"")</f>
        <v/>
      </c>
      <c r="B58" s="47">
        <f>IF(47&lt;=PM_years,E57,"")</f>
        <v/>
      </c>
      <c r="C58" s="47">
        <f>IF(47&lt;=PM_years,PM_amt*12,"")</f>
        <v/>
      </c>
      <c r="D58" s="47">
        <f>IF(47&lt;=PM_years,B58*PM_rate+PM_amt*PM_rate*78/12,"")</f>
        <v/>
      </c>
      <c r="E58" s="47">
        <f>IF(47&lt;=PM_years,B58+C58+D58,"")</f>
        <v/>
      </c>
    </row>
    <row r="59" ht="15" customHeight="1" s="29">
      <c r="A59" s="48">
        <f>IF(48&lt;=PM_years,48,"")</f>
        <v/>
      </c>
      <c r="B59" s="49">
        <f>IF(48&lt;=PM_years,E58,"")</f>
        <v/>
      </c>
      <c r="C59" s="49">
        <f>IF(48&lt;=PM_years,PM_amt*12,"")</f>
        <v/>
      </c>
      <c r="D59" s="49">
        <f>IF(48&lt;=PM_years,B59*PM_rate+PM_amt*PM_rate*78/12,"")</f>
        <v/>
      </c>
      <c r="E59" s="49">
        <f>IF(48&lt;=PM_years,B59+C59+D59,"")</f>
        <v/>
      </c>
    </row>
    <row r="60" ht="15" customHeight="1" s="29">
      <c r="A60" s="46">
        <f>IF(49&lt;=PM_years,49,"")</f>
        <v/>
      </c>
      <c r="B60" s="47">
        <f>IF(49&lt;=PM_years,E59,"")</f>
        <v/>
      </c>
      <c r="C60" s="47">
        <f>IF(49&lt;=PM_years,PM_amt*12,"")</f>
        <v/>
      </c>
      <c r="D60" s="47">
        <f>IF(49&lt;=PM_years,B60*PM_rate+PM_amt*PM_rate*78/12,"")</f>
        <v/>
      </c>
      <c r="E60" s="47">
        <f>IF(49&lt;=PM_years,B60+C60+D60,"")</f>
        <v/>
      </c>
    </row>
    <row r="61" ht="15" customHeight="1" s="29">
      <c r="A61" s="48">
        <f>IF(50&lt;=PM_years,50,"")</f>
        <v/>
      </c>
      <c r="B61" s="49">
        <f>IF(50&lt;=PM_years,E60,"")</f>
        <v/>
      </c>
      <c r="C61" s="49">
        <f>IF(50&lt;=PM_years,PM_amt*12,"")</f>
        <v/>
      </c>
      <c r="D61" s="49">
        <f>IF(50&lt;=PM_years,B61*PM_rate+PM_amt*PM_rate*78/12,"")</f>
        <v/>
      </c>
      <c r="E61" s="49">
        <f>IF(50&lt;=PM_years,B61+C61+D61,"")</f>
        <v/>
      </c>
    </row>
    <row r="62"/>
    <row r="63" ht="15" customHeight="1" s="29">
      <c r="B63" s="50" t="inlineStr">
        <is>
          <t>Total invested</t>
        </is>
      </c>
      <c r="C63" s="51">
        <f>SUMIF(A12:A61,"&lt;="&amp;PM_years,C12:C61)</f>
        <v/>
      </c>
    </row>
    <row r="64" ht="15" customHeight="1" s="29">
      <c r="B64" s="50" t="inlineStr">
        <is>
          <t>Total interest earned</t>
        </is>
      </c>
      <c r="C64" s="51">
        <f>INDEX(E12:E61,PM_years)-SUMIF(A12:A61,"&lt;="&amp;PM_years,C12:C61)</f>
        <v/>
      </c>
    </row>
    <row r="65" ht="15" customHeight="1" s="29">
      <c r="B65" s="52" t="inlineStr">
        <is>
          <t>Maturity value</t>
        </is>
      </c>
      <c r="C65" s="53">
        <f>INDEX(E12:E61,PM_years)</f>
        <v/>
      </c>
    </row>
    <row r="66"/>
    <row r="67" ht="15" customHeight="1" s="29">
      <c r="A67" s="38" t="inlineStr">
        <is>
          <t>Prepared by CA Tirumalesh Malla  |  calcguru.in  |  Free CA working files &amp; calculators</t>
        </is>
      </c>
    </row>
  </sheetData>
  <sheetProtection selectLockedCells="0" selectUnlockedCells="0" sheet="1" objects="0" insertRows="1" insertHyperlinks="1" autoFilter="0" scenarios="0" formatColumns="0" deleteColumns="1" insertColumns="0" pivotTables="1" deleteRows="1" formatCells="0" formatRows="0" sort="0" password="BBBC"/>
  <mergeCells count="4">
    <mergeCell ref="A67:G67"/>
    <mergeCell ref="A3:G3"/>
    <mergeCell ref="A2:G2"/>
    <mergeCell ref="A1:G1"/>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en-US</dc:language>
  <dcterms:created xmlns:dcterms="http://purl.org/dc/terms/" xmlns:xsi="http://www.w3.org/2001/XMLSchema-instance" xsi:type="dcterms:W3CDTF">2026-06-11T05:56:49Z</dcterms:created>
  <dcterms:modified xmlns:dcterms="http://purl.org/dc/terms/" xmlns:xsi="http://www.w3.org/2001/XMLSchema-instance" xsi:type="dcterms:W3CDTF">2026-06-11T05:57:24Z</dcterms:modified>
  <cp:revision>0</cp:revision>
</cp:coreProperties>
</file>