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Cover" sheetId="1" state="visible" r:id="rId1"/>
    <sheet xmlns:r="http://schemas.openxmlformats.org/officeDocument/2006/relationships" name="SIP Calculator" sheetId="2" state="visible" r:id="rId2"/>
    <sheet xmlns:r="http://schemas.openxmlformats.org/officeDocument/2006/relationships" name="Lumpsum" sheetId="3" state="visible" r:id="rId3"/>
  </sheets>
  <definedNames>
    <definedName name="LMP_amt" hidden="0" function="0" vbProcedure="0">Lumpsum!$C$6</definedName>
    <definedName name="LMP_infl" hidden="0" function="0" vbProcedure="0">Lumpsum!$C$9</definedName>
    <definedName name="LMP_ret" hidden="0" function="0" vbProcedure="0">Lumpsum!$C$7</definedName>
    <definedName name="LMP_years" hidden="0" function="0" vbProcedure="0">Lumpsum!$C$8</definedName>
    <definedName name="SIP_amt" hidden="0" function="0" vbProcedure="0">'SIP Calculator'!$C$6</definedName>
    <definedName name="SIP_infl" hidden="0" function="0" vbProcedure="0">'SIP Calculator'!$C$10</definedName>
    <definedName name="SIP_ret" hidden="0" function="0" vbProcedure="0">'SIP Calculator'!$C$7</definedName>
    <definedName name="SIP_step" hidden="0" function="0" vbProcedure="0">'SIP Calculator'!$C$9</definedName>
    <definedName name="SIP_years" hidden="0" function="0" vbProcedure="0">'SIP Calculator'!$C$8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1">
    <numFmt numFmtId="164" formatCode="#,##0;\(#,##0\);\-"/>
  </numFmts>
  <fonts count="14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Calibri"/>
      <charset val="1"/>
      <family val="0"/>
      <b val="1"/>
      <color rgb="FFFFFFFF"/>
      <sz val="18"/>
    </font>
    <font>
      <name val="Calibri"/>
      <charset val="1"/>
      <family val="0"/>
      <b val="1"/>
      <color rgb="FFFFFFFF"/>
      <sz val="13"/>
    </font>
    <font>
      <name val="Calibri"/>
      <charset val="1"/>
      <family val="0"/>
      <i val="1"/>
      <color rgb="FFFFFFFF"/>
      <sz val="9"/>
    </font>
    <font>
      <name val="Calibri"/>
      <charset val="1"/>
      <family val="0"/>
      <b val="1"/>
      <color rgb="FF1E3A8A"/>
      <sz val="11"/>
    </font>
    <font>
      <name val="Calibri"/>
      <charset val="1"/>
      <family val="0"/>
      <color rgb="FF3B4754"/>
      <sz val="10"/>
    </font>
    <font>
      <name val="Calibri"/>
      <charset val="1"/>
      <family val="0"/>
      <i val="1"/>
      <color rgb="FF64748B"/>
      <sz val="8"/>
    </font>
    <font>
      <name val="Calibri"/>
      <charset val="1"/>
      <family val="0"/>
      <b val="1"/>
      <color rgb="FF1E3A8A"/>
      <sz val="10"/>
    </font>
    <font>
      <name val="Calibri"/>
      <charset val="1"/>
      <family val="0"/>
      <sz val="10"/>
    </font>
    <font>
      <name val="Calibri"/>
      <charset val="1"/>
      <family val="0"/>
      <b val="1"/>
      <color rgb="FFFFFFFF"/>
      <sz val="9"/>
    </font>
    <font>
      <name val="Calibri"/>
      <charset val="1"/>
      <family val="0"/>
      <sz val="9"/>
    </font>
  </fonts>
  <fills count="7">
    <fill>
      <patternFill/>
    </fill>
    <fill>
      <patternFill patternType="gray125"/>
    </fill>
    <fill>
      <patternFill patternType="solid">
        <fgColor rgb="FF1E3A8A"/>
        <bgColor rgb="FF2748A8"/>
      </patternFill>
    </fill>
    <fill>
      <patternFill patternType="solid">
        <fgColor rgb="FF2748A8"/>
        <bgColor rgb="FF1E3A8A"/>
      </patternFill>
    </fill>
    <fill>
      <patternFill patternType="solid">
        <fgColor rgb="FFF97316"/>
        <bgColor rgb="FFFF9900"/>
      </patternFill>
    </fill>
    <fill>
      <patternFill patternType="solid">
        <fgColor rgb="FFFFF7CC"/>
        <bgColor rgb="FFFFFFFF"/>
      </patternFill>
    </fill>
    <fill>
      <patternFill patternType="solid">
        <fgColor rgb="FFDCFCE7"/>
        <bgColor rgb="FFCCFFFF"/>
      </patternFill>
    </fill>
  </fills>
  <borders count="2">
    <border>
      <left/>
      <right/>
      <top/>
      <bottom/>
      <diagonal/>
    </border>
    <border>
      <left style="thin">
        <color rgb="FFC9D4E5"/>
      </left>
      <right style="thin">
        <color rgb="FFC9D4E5"/>
      </right>
      <top style="thin">
        <color rgb="FFC9D4E5"/>
      </top>
      <bottom style="thin">
        <color rgb="FFC9D4E5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9">
    <xf numFmtId="0" fontId="0" fillId="0" borderId="0" applyAlignment="1" pivotButton="0" quotePrefix="0" xfId="0">
      <alignment horizontal="general" vertical="bottom"/>
    </xf>
    <xf numFmtId="0" fontId="4" fillId="2" borderId="0" applyAlignment="1" pivotButton="0" quotePrefix="0" xfId="0">
      <alignment horizontal="general" vertical="center" indent="1"/>
    </xf>
    <xf numFmtId="0" fontId="5" fillId="3" borderId="0" applyAlignment="1" pivotButton="0" quotePrefix="0" xfId="0">
      <alignment horizontal="general" vertical="center" indent="1"/>
    </xf>
    <xf numFmtId="0" fontId="6" fillId="4" borderId="0" applyAlignment="1" pivotButton="0" quotePrefix="0" xfId="0">
      <alignment horizontal="general" vertical="center" indent="1"/>
    </xf>
    <xf numFmtId="0" fontId="7" fillId="0" borderId="0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top" wrapText="1"/>
    </xf>
    <xf numFmtId="0" fontId="9" fillId="0" borderId="0" applyAlignment="1" pivotButton="0" quotePrefix="0" xfId="0">
      <alignment horizontal="left" vertical="bottom" indent="1"/>
    </xf>
    <xf numFmtId="0" fontId="7" fillId="0" borderId="0" applyAlignment="1" pivotButton="0" quotePrefix="0" xfId="0">
      <alignment horizontal="general" vertical="bottom"/>
    </xf>
    <xf numFmtId="0" fontId="10" fillId="0" borderId="0" applyAlignment="1" pivotButton="0" quotePrefix="0" xfId="0">
      <alignment horizontal="general" vertical="bottom" indent="1"/>
    </xf>
    <xf numFmtId="3" fontId="11" fillId="5" borderId="1" applyAlignment="1" applyProtection="1" pivotButton="0" quotePrefix="0" xfId="0">
      <alignment horizontal="general" vertical="bottom"/>
      <protection locked="0"/>
    </xf>
    <xf numFmtId="10" fontId="11" fillId="5" borderId="1" applyAlignment="1" applyProtection="1" pivotButton="0" quotePrefix="0" xfId="0">
      <alignment horizontal="general" vertical="bottom"/>
      <protection locked="0"/>
    </xf>
    <xf numFmtId="1" fontId="11" fillId="5" borderId="1" applyAlignment="1" applyProtection="1" pivotButton="0" quotePrefix="0" xfId="0">
      <alignment horizontal="general" vertical="bottom"/>
      <protection locked="0"/>
    </xf>
    <xf numFmtId="0" fontId="10" fillId="0" borderId="0" applyAlignment="1" pivotButton="0" quotePrefix="0" xfId="0">
      <alignment horizontal="general" vertical="bottom"/>
    </xf>
    <xf numFmtId="164" fontId="10" fillId="6" borderId="1" applyAlignment="1" pivotButton="0" quotePrefix="0" xfId="0">
      <alignment horizontal="general" vertical="bottom"/>
    </xf>
    <xf numFmtId="0" fontId="12" fillId="2" borderId="1" applyAlignment="1" pivotButton="0" quotePrefix="0" xfId="0">
      <alignment horizontal="center" vertical="center" wrapText="1"/>
    </xf>
    <xf numFmtId="0" fontId="13" fillId="0" borderId="1" applyAlignment="1" pivotButton="0" quotePrefix="0" xfId="0">
      <alignment horizontal="center" vertical="bottom"/>
    </xf>
    <xf numFmtId="164" fontId="13" fillId="0" borderId="1" applyAlignment="1" pivotButton="0" quotePrefix="0" xfId="0">
      <alignment horizontal="general" vertical="bottom"/>
    </xf>
    <xf numFmtId="0" fontId="10" fillId="0" borderId="0" applyAlignment="1" pivotButton="0" quotePrefix="0" xfId="0">
      <alignment horizontal="general" vertical="bottom" indent="1"/>
    </xf>
    <xf numFmtId="164" fontId="7" fillId="6" borderId="1" applyAlignment="1" pivotButton="0" quotePrefix="0" xfId="0">
      <alignment horizontal="general" vertical="bottom"/>
    </xf>
    <xf numFmtId="10" fontId="7" fillId="6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4" fillId="2" borderId="0" applyAlignment="1" pivotButton="0" quotePrefix="0" xfId="0">
      <alignment horizontal="general" vertical="center" indent="1"/>
    </xf>
    <xf numFmtId="0" fontId="5" fillId="3" borderId="0" applyAlignment="1" pivotButton="0" quotePrefix="0" xfId="0">
      <alignment horizontal="general" vertical="center" indent="1"/>
    </xf>
    <xf numFmtId="0" fontId="6" fillId="4" borderId="0" applyAlignment="1" pivotButton="0" quotePrefix="0" xfId="0">
      <alignment horizontal="general" vertical="center" indent="1"/>
    </xf>
    <xf numFmtId="0" fontId="7" fillId="0" borderId="0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top" wrapText="1"/>
    </xf>
    <xf numFmtId="0" fontId="9" fillId="0" borderId="0" applyAlignment="1" pivotButton="0" quotePrefix="0" xfId="0">
      <alignment horizontal="left" vertical="bottom" indent="1"/>
    </xf>
    <xf numFmtId="0" fontId="10" fillId="0" borderId="0" applyAlignment="1" pivotButton="0" quotePrefix="0" xfId="0">
      <alignment horizontal="general" vertical="bottom" indent="1"/>
    </xf>
    <xf numFmtId="3" fontId="11" fillId="5" borderId="1" applyAlignment="1" applyProtection="1" pivotButton="0" quotePrefix="0" xfId="0">
      <alignment horizontal="general" vertical="bottom"/>
      <protection locked="0"/>
    </xf>
    <xf numFmtId="10" fontId="11" fillId="5" borderId="1" applyAlignment="1" applyProtection="1" pivotButton="0" quotePrefix="0" xfId="0">
      <alignment horizontal="general" vertical="bottom"/>
      <protection locked="0"/>
    </xf>
    <xf numFmtId="1" fontId="11" fillId="5" borderId="1" applyAlignment="1" applyProtection="1" pivotButton="0" quotePrefix="0" xfId="0">
      <alignment horizontal="general" vertical="bottom"/>
      <protection locked="0"/>
    </xf>
    <xf numFmtId="0" fontId="10" fillId="0" borderId="0" applyAlignment="1" pivotButton="0" quotePrefix="0" xfId="0">
      <alignment horizontal="general" vertical="bottom"/>
    </xf>
    <xf numFmtId="164" fontId="10" fillId="6" borderId="1" applyAlignment="1" pivotButton="0" quotePrefix="0" xfId="0">
      <alignment horizontal="general" vertical="bottom"/>
    </xf>
    <xf numFmtId="0" fontId="12" fillId="2" borderId="1" applyAlignment="1" pivotButton="0" quotePrefix="0" xfId="0">
      <alignment horizontal="center" vertical="center" wrapText="1"/>
    </xf>
    <xf numFmtId="0" fontId="13" fillId="0" borderId="1" applyAlignment="1" pivotButton="0" quotePrefix="0" xfId="0">
      <alignment horizontal="center" vertical="bottom"/>
    </xf>
    <xf numFmtId="164" fontId="13" fillId="0" borderId="1" applyAlignment="1" pivotButton="0" quotePrefix="0" xfId="0">
      <alignment horizontal="general" vertical="bottom"/>
    </xf>
    <xf numFmtId="164" fontId="7" fillId="6" borderId="1" applyAlignment="1" pivotButton="0" quotePrefix="0" xfId="0">
      <alignment horizontal="general" vertical="bottom"/>
    </xf>
    <xf numFmtId="10" fontId="7" fillId="6" borderId="1" applyAlignment="1" pivotButton="0" quotePrefix="0" xfId="0">
      <alignment horizontal="general" vertical="bottom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7CC"/>
      <rgbColor rgb="FFDCFCE7"/>
      <rgbColor rgb="FF660066"/>
      <rgbColor rgb="FFFF8080"/>
      <rgbColor rgb="FF2748A8"/>
      <rgbColor rgb="FFC9D4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97316"/>
      <rgbColor rgb="FF64748B"/>
      <rgbColor rgb="FF969696"/>
      <rgbColor rgb="FF003366"/>
      <rgbColor rgb="FF339966"/>
      <rgbColor rgb="FF003300"/>
      <rgbColor rgb="FF333300"/>
      <rgbColor rgb="FF993300"/>
      <rgbColor rgb="FF993366"/>
      <rgbColor rgb="FF1E3A8A"/>
      <rgbColor rgb="FF3B4754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H11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18" customWidth="1" style="20" min="1" max="1"/>
    <col width="14" customWidth="1" style="20" min="2" max="8"/>
  </cols>
  <sheetData>
    <row r="1" ht="25.5" customHeight="1" s="21">
      <c r="A1" s="22" t="inlineStr">
        <is>
          <t>CalcGuru</t>
        </is>
      </c>
    </row>
    <row r="2" ht="19.5" customHeight="1" s="21">
      <c r="A2" s="23" t="inlineStr">
        <is>
          <t>SIP Calculator with Step-up (FY 2026-27)</t>
        </is>
      </c>
    </row>
    <row r="3" ht="15.75" customHeight="1" s="21">
      <c r="A3" s="24" t="inlineStr">
        <is>
          <t>Project your SIP maturity year by year, with an optional annual step-up and inflation-adjusted real value.</t>
        </is>
      </c>
    </row>
    <row r="4"/>
    <row r="5" ht="15" customHeight="1" s="21">
      <c r="A5" s="25" t="inlineStr">
        <is>
          <t>About this workbook</t>
        </is>
      </c>
    </row>
    <row r="6" ht="30" customHeight="1" s="21">
      <c r="A6" s="26" t="inlineStr">
        <is>
          <t>This workbook has two tabs: 'SIP Calculator' (monthly SIP with an optional annual top-up / step-up) and 'Lumpsum' (one-time investment growth with CAGR).</t>
        </is>
      </c>
    </row>
    <row r="7" ht="30" customHeight="1" s="21">
      <c r="A7" s="26" t="inlineStr">
        <is>
          <t>Enter your monthly SIP, the expected annual return, the period in years, and (optionally) an annual step-up percentage. The maturity, wealth gain and a full year-wise schedule compute automatically.</t>
        </is>
      </c>
    </row>
    <row r="8" ht="30" customHeight="1" s="21">
      <c r="A8" s="26" t="inlineStr">
        <is>
          <t>Returns are an ASSUMPTION you choose - mutual fund returns are market-linked and not guaranteed. Use a conservative figure (e.g. 10-12% for equity) and compare scenarios by changing the yellow cells.</t>
        </is>
      </c>
    </row>
    <row r="9" ht="30" customHeight="1" s="21">
      <c r="A9" s="26" t="inlineStr">
        <is>
          <t>The inflation-adjusted value shows what your maturity corpus is worth in today's money.</t>
        </is>
      </c>
    </row>
    <row r="10"/>
    <row r="11" ht="15" customHeight="1" s="21">
      <c r="A11" s="27" t="inlineStr">
        <is>
          <t>Prepared by CA Tirumalesh Malla  |  calcguru.in  |  Returns are assumptions, not guaranteed - mutual funds are subject to market risk</t>
        </is>
      </c>
    </row>
  </sheetData>
  <sheetProtection selectLockedCells="0" selectUnlockedCells="0" sheet="1" objects="0" insertRows="1" insertHyperlinks="1" autoFilter="0" scenarios="0" formatColumns="0" deleteColumns="1" insertColumns="0" pivotTables="1" deleteRows="1" formatCells="0" formatRows="0" sort="0" password="BBBC"/>
  <mergeCells count="8">
    <mergeCell ref="A9:H9"/>
    <mergeCell ref="A3:H3"/>
    <mergeCell ref="A7:H7"/>
    <mergeCell ref="A2:H2"/>
    <mergeCell ref="A11:H11"/>
    <mergeCell ref="A1:H1"/>
    <mergeCell ref="A8:H8"/>
    <mergeCell ref="A6:H6"/>
  </mergeCell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F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pane xSplit="0" ySplit="18" topLeftCell="A19" activePane="bottomLeft" state="frozen"/>
      <selection pane="topLeft" activeCell="A1" activeCellId="0" sqref="A1"/>
      <selection pane="bottomLeft" activeCell="A1" activeCellId="0" sqref="A1"/>
    </sheetView>
  </sheetViews>
  <sheetFormatPr baseColWidth="8" defaultColWidth="8.6796875" defaultRowHeight="15" customHeight="0" zeroHeight="0" outlineLevelRow="0"/>
  <cols>
    <col width="8" customWidth="1" style="20" min="1" max="1"/>
    <col width="14" customWidth="1" style="20" min="2" max="2"/>
    <col width="16" customWidth="1" style="20" min="3" max="3"/>
    <col width="18" customWidth="1" style="20" min="4" max="4"/>
    <col width="16" customWidth="1" style="20" min="5" max="5"/>
    <col width="14" customWidth="1" style="20" min="6" max="6"/>
  </cols>
  <sheetData>
    <row r="1" ht="25.5" customHeight="1" s="21">
      <c r="A1" s="22" t="inlineStr">
        <is>
          <t>CalcGuru</t>
        </is>
      </c>
    </row>
    <row r="2" ht="19.5" customHeight="1" s="21">
      <c r="A2" s="23" t="inlineStr">
        <is>
          <t>SIP Calculator (with annual step-up)</t>
        </is>
      </c>
    </row>
    <row r="3" ht="15.75" customHeight="1" s="21">
      <c r="A3" s="24" t="inlineStr">
        <is>
          <t>Yellow = your inputs. Maturity, wealth gain and the year-wise schedule compute automatically.</t>
        </is>
      </c>
    </row>
    <row r="4"/>
    <row r="5" ht="15" customHeight="1" s="21">
      <c r="A5" s="25" t="inlineStr">
        <is>
          <t>Your inputs</t>
        </is>
      </c>
    </row>
    <row r="6" ht="15" customHeight="1" s="21">
      <c r="A6" s="28" t="inlineStr">
        <is>
          <t>Monthly SIP amount (Rs)</t>
        </is>
      </c>
      <c r="C6" s="29" t="n">
        <v>10000</v>
      </c>
    </row>
    <row r="7" ht="15" customHeight="1" s="21">
      <c r="A7" s="28" t="inlineStr">
        <is>
          <t>Expected annual return (%)</t>
        </is>
      </c>
      <c r="C7" s="30" t="n">
        <v>0.12</v>
      </c>
    </row>
    <row r="8" ht="15" customHeight="1" s="21">
      <c r="A8" s="28" t="inlineStr">
        <is>
          <t>Investment period (years)</t>
        </is>
      </c>
      <c r="C8" s="31" t="n">
        <v>15</v>
      </c>
    </row>
    <row r="9" ht="15" customHeight="1" s="21">
      <c r="A9" s="28" t="inlineStr">
        <is>
          <t>Annual step-up (%) - optional</t>
        </is>
      </c>
      <c r="C9" s="30" t="n">
        <v>0.1</v>
      </c>
    </row>
    <row r="10" ht="15" customHeight="1" s="21">
      <c r="A10" s="28" t="inlineStr">
        <is>
          <t>Expected inflation (%) - optional</t>
        </is>
      </c>
      <c r="C10" s="30" t="n">
        <v>0.06</v>
      </c>
    </row>
    <row r="11"/>
    <row r="12"/>
    <row r="13" ht="15" customHeight="1" s="21">
      <c r="A13" s="25" t="inlineStr">
        <is>
          <t>Summary</t>
        </is>
      </c>
    </row>
    <row r="14" ht="15" customHeight="1" s="21">
      <c r="A14" s="32" t="inlineStr">
        <is>
          <t>Total amount invested</t>
        </is>
      </c>
      <c r="C14" s="33">
        <f>INDEX($D$19:$D$58,SIP_years)</f>
        <v/>
      </c>
    </row>
    <row r="15" ht="15" customHeight="1" s="21">
      <c r="A15" s="32" t="inlineStr">
        <is>
          <t>Maturity value</t>
        </is>
      </c>
      <c r="C15" s="33">
        <f>INDEX($E$19:$E$58,SIP_years)</f>
        <v/>
      </c>
    </row>
    <row r="16" ht="15" customHeight="1" s="21">
      <c r="A16" s="32" t="inlineStr">
        <is>
          <t>Wealth gain</t>
        </is>
      </c>
      <c r="C16" s="33">
        <f>INDEX($E$19:$E$58,SIP_years)-INDEX($D$19:$D$58,SIP_years)</f>
        <v/>
      </c>
    </row>
    <row r="17" ht="15" customHeight="1" s="21">
      <c r="A17" s="32" t="inlineStr">
        <is>
          <t>Inflation-adjusted maturity (today's money)</t>
        </is>
      </c>
      <c r="C17" s="33">
        <f>INDEX($E$19:$E$58,SIP_years)/((1+SIP_infl)^SIP_years)</f>
        <v/>
      </c>
    </row>
    <row r="18" ht="27.75" customHeight="1" s="21">
      <c r="A18" s="34" t="inlineStr">
        <is>
          <t>Year</t>
        </is>
      </c>
      <c r="B18" s="34" t="inlineStr">
        <is>
          <t>Monthly SIP</t>
        </is>
      </c>
      <c r="C18" s="34" t="inlineStr">
        <is>
          <t>Invested this year</t>
        </is>
      </c>
      <c r="D18" s="34" t="inlineStr">
        <is>
          <t>Cumulative invested</t>
        </is>
      </c>
      <c r="E18" s="34" t="inlineStr">
        <is>
          <t>Value at year-end</t>
        </is>
      </c>
      <c r="F18" s="34" t="inlineStr">
        <is>
          <t>Wealth gain</t>
        </is>
      </c>
    </row>
    <row r="19" ht="15" customHeight="1" s="21">
      <c r="A19" s="35">
        <f>IF(1&lt;=SIP_years,1,"")</f>
        <v/>
      </c>
      <c r="B19" s="36">
        <f>IF(1&lt;=SIP_years,ROUND(SIP_amt*(1+SIP_step)^0,0),"")</f>
        <v/>
      </c>
      <c r="C19" s="36">
        <f>IF(1&lt;=SIP_years,$B19*12,"")</f>
        <v/>
      </c>
      <c r="D19" s="36">
        <f>IF(1&lt;=SIP_years,$C19,"")</f>
        <v/>
      </c>
      <c r="E19" s="36">
        <f>IF(1&lt;=SIP_years,$B19*(((1+SIP_ret/12)^12-1)/(SIP_ret/12))*(1+SIP_ret/12),"")</f>
        <v/>
      </c>
      <c r="F19" s="36">
        <f>IF(1&lt;=SIP_years,$E19-$D19,"")</f>
        <v/>
      </c>
    </row>
    <row r="20" ht="15" customHeight="1" s="21">
      <c r="A20" s="35">
        <f>IF(2&lt;=SIP_years,2,"")</f>
        <v/>
      </c>
      <c r="B20" s="36">
        <f>IF(2&lt;=SIP_years,ROUND(SIP_amt*(1+SIP_step)^1,0),"")</f>
        <v/>
      </c>
      <c r="C20" s="36">
        <f>IF(2&lt;=SIP_years,$B20*12,"")</f>
        <v/>
      </c>
      <c r="D20" s="36">
        <f>IF(2&lt;=SIP_years,$D19+$C20,"")</f>
        <v/>
      </c>
      <c r="E20" s="36">
        <f>IF(2&lt;=SIP_years,$E19*(1+SIP_ret/12)^12+$B20*(((1+SIP_ret/12)^12-1)/(SIP_ret/12))*(1+SIP_ret/12),"")</f>
        <v/>
      </c>
      <c r="F20" s="36">
        <f>IF(2&lt;=SIP_years,$E20-$D20,"")</f>
        <v/>
      </c>
    </row>
    <row r="21" ht="15" customHeight="1" s="21">
      <c r="A21" s="35">
        <f>IF(3&lt;=SIP_years,3,"")</f>
        <v/>
      </c>
      <c r="B21" s="36">
        <f>IF(3&lt;=SIP_years,ROUND(SIP_amt*(1+SIP_step)^2,0),"")</f>
        <v/>
      </c>
      <c r="C21" s="36">
        <f>IF(3&lt;=SIP_years,$B21*12,"")</f>
        <v/>
      </c>
      <c r="D21" s="36">
        <f>IF(3&lt;=SIP_years,$D20+$C21,"")</f>
        <v/>
      </c>
      <c r="E21" s="36">
        <f>IF(3&lt;=SIP_years,$E20*(1+SIP_ret/12)^12+$B21*(((1+SIP_ret/12)^12-1)/(SIP_ret/12))*(1+SIP_ret/12),"")</f>
        <v/>
      </c>
      <c r="F21" s="36">
        <f>IF(3&lt;=SIP_years,$E21-$D21,"")</f>
        <v/>
      </c>
    </row>
    <row r="22" ht="15" customHeight="1" s="21">
      <c r="A22" s="35">
        <f>IF(4&lt;=SIP_years,4,"")</f>
        <v/>
      </c>
      <c r="B22" s="36">
        <f>IF(4&lt;=SIP_years,ROUND(SIP_amt*(1+SIP_step)^3,0),"")</f>
        <v/>
      </c>
      <c r="C22" s="36">
        <f>IF(4&lt;=SIP_years,$B22*12,"")</f>
        <v/>
      </c>
      <c r="D22" s="36">
        <f>IF(4&lt;=SIP_years,$D21+$C22,"")</f>
        <v/>
      </c>
      <c r="E22" s="36">
        <f>IF(4&lt;=SIP_years,$E21*(1+SIP_ret/12)^12+$B22*(((1+SIP_ret/12)^12-1)/(SIP_ret/12))*(1+SIP_ret/12),"")</f>
        <v/>
      </c>
      <c r="F22" s="36">
        <f>IF(4&lt;=SIP_years,$E22-$D22,"")</f>
        <v/>
      </c>
    </row>
    <row r="23" ht="15" customHeight="1" s="21">
      <c r="A23" s="35">
        <f>IF(5&lt;=SIP_years,5,"")</f>
        <v/>
      </c>
      <c r="B23" s="36">
        <f>IF(5&lt;=SIP_years,ROUND(SIP_amt*(1+SIP_step)^4,0),"")</f>
        <v/>
      </c>
      <c r="C23" s="36">
        <f>IF(5&lt;=SIP_years,$B23*12,"")</f>
        <v/>
      </c>
      <c r="D23" s="36">
        <f>IF(5&lt;=SIP_years,$D22+$C23,"")</f>
        <v/>
      </c>
      <c r="E23" s="36">
        <f>IF(5&lt;=SIP_years,$E22*(1+SIP_ret/12)^12+$B23*(((1+SIP_ret/12)^12-1)/(SIP_ret/12))*(1+SIP_ret/12),"")</f>
        <v/>
      </c>
      <c r="F23" s="36">
        <f>IF(5&lt;=SIP_years,$E23-$D23,"")</f>
        <v/>
      </c>
    </row>
    <row r="24" ht="15" customHeight="1" s="21">
      <c r="A24" s="35">
        <f>IF(6&lt;=SIP_years,6,"")</f>
        <v/>
      </c>
      <c r="B24" s="36">
        <f>IF(6&lt;=SIP_years,ROUND(SIP_amt*(1+SIP_step)^5,0),"")</f>
        <v/>
      </c>
      <c r="C24" s="36">
        <f>IF(6&lt;=SIP_years,$B24*12,"")</f>
        <v/>
      </c>
      <c r="D24" s="36">
        <f>IF(6&lt;=SIP_years,$D23+$C24,"")</f>
        <v/>
      </c>
      <c r="E24" s="36">
        <f>IF(6&lt;=SIP_years,$E23*(1+SIP_ret/12)^12+$B24*(((1+SIP_ret/12)^12-1)/(SIP_ret/12))*(1+SIP_ret/12),"")</f>
        <v/>
      </c>
      <c r="F24" s="36">
        <f>IF(6&lt;=SIP_years,$E24-$D24,"")</f>
        <v/>
      </c>
    </row>
    <row r="25" ht="15" customHeight="1" s="21">
      <c r="A25" s="35">
        <f>IF(7&lt;=SIP_years,7,"")</f>
        <v/>
      </c>
      <c r="B25" s="36">
        <f>IF(7&lt;=SIP_years,ROUND(SIP_amt*(1+SIP_step)^6,0),"")</f>
        <v/>
      </c>
      <c r="C25" s="36">
        <f>IF(7&lt;=SIP_years,$B25*12,"")</f>
        <v/>
      </c>
      <c r="D25" s="36">
        <f>IF(7&lt;=SIP_years,$D24+$C25,"")</f>
        <v/>
      </c>
      <c r="E25" s="36">
        <f>IF(7&lt;=SIP_years,$E24*(1+SIP_ret/12)^12+$B25*(((1+SIP_ret/12)^12-1)/(SIP_ret/12))*(1+SIP_ret/12),"")</f>
        <v/>
      </c>
      <c r="F25" s="36">
        <f>IF(7&lt;=SIP_years,$E25-$D25,"")</f>
        <v/>
      </c>
    </row>
    <row r="26" ht="15" customHeight="1" s="21">
      <c r="A26" s="35">
        <f>IF(8&lt;=SIP_years,8,"")</f>
        <v/>
      </c>
      <c r="B26" s="36">
        <f>IF(8&lt;=SIP_years,ROUND(SIP_amt*(1+SIP_step)^7,0),"")</f>
        <v/>
      </c>
      <c r="C26" s="36">
        <f>IF(8&lt;=SIP_years,$B26*12,"")</f>
        <v/>
      </c>
      <c r="D26" s="36">
        <f>IF(8&lt;=SIP_years,$D25+$C26,"")</f>
        <v/>
      </c>
      <c r="E26" s="36">
        <f>IF(8&lt;=SIP_years,$E25*(1+SIP_ret/12)^12+$B26*(((1+SIP_ret/12)^12-1)/(SIP_ret/12))*(1+SIP_ret/12),"")</f>
        <v/>
      </c>
      <c r="F26" s="36">
        <f>IF(8&lt;=SIP_years,$E26-$D26,"")</f>
        <v/>
      </c>
    </row>
    <row r="27" ht="15" customHeight="1" s="21">
      <c r="A27" s="35">
        <f>IF(9&lt;=SIP_years,9,"")</f>
        <v/>
      </c>
      <c r="B27" s="36">
        <f>IF(9&lt;=SIP_years,ROUND(SIP_amt*(1+SIP_step)^8,0),"")</f>
        <v/>
      </c>
      <c r="C27" s="36">
        <f>IF(9&lt;=SIP_years,$B27*12,"")</f>
        <v/>
      </c>
      <c r="D27" s="36">
        <f>IF(9&lt;=SIP_years,$D26+$C27,"")</f>
        <v/>
      </c>
      <c r="E27" s="36">
        <f>IF(9&lt;=SIP_years,$E26*(1+SIP_ret/12)^12+$B27*(((1+SIP_ret/12)^12-1)/(SIP_ret/12))*(1+SIP_ret/12),"")</f>
        <v/>
      </c>
      <c r="F27" s="36">
        <f>IF(9&lt;=SIP_years,$E27-$D27,"")</f>
        <v/>
      </c>
    </row>
    <row r="28" ht="15" customHeight="1" s="21">
      <c r="A28" s="35">
        <f>IF(10&lt;=SIP_years,10,"")</f>
        <v/>
      </c>
      <c r="B28" s="36">
        <f>IF(10&lt;=SIP_years,ROUND(SIP_amt*(1+SIP_step)^9,0),"")</f>
        <v/>
      </c>
      <c r="C28" s="36">
        <f>IF(10&lt;=SIP_years,$B28*12,"")</f>
        <v/>
      </c>
      <c r="D28" s="36">
        <f>IF(10&lt;=SIP_years,$D27+$C28,"")</f>
        <v/>
      </c>
      <c r="E28" s="36">
        <f>IF(10&lt;=SIP_years,$E27*(1+SIP_ret/12)^12+$B28*(((1+SIP_ret/12)^12-1)/(SIP_ret/12))*(1+SIP_ret/12),"")</f>
        <v/>
      </c>
      <c r="F28" s="36">
        <f>IF(10&lt;=SIP_years,$E28-$D28,"")</f>
        <v/>
      </c>
    </row>
    <row r="29" ht="15" customHeight="1" s="21">
      <c r="A29" s="35">
        <f>IF(11&lt;=SIP_years,11,"")</f>
        <v/>
      </c>
      <c r="B29" s="36">
        <f>IF(11&lt;=SIP_years,ROUND(SIP_amt*(1+SIP_step)^10,0),"")</f>
        <v/>
      </c>
      <c r="C29" s="36">
        <f>IF(11&lt;=SIP_years,$B29*12,"")</f>
        <v/>
      </c>
      <c r="D29" s="36">
        <f>IF(11&lt;=SIP_years,$D28+$C29,"")</f>
        <v/>
      </c>
      <c r="E29" s="36">
        <f>IF(11&lt;=SIP_years,$E28*(1+SIP_ret/12)^12+$B29*(((1+SIP_ret/12)^12-1)/(SIP_ret/12))*(1+SIP_ret/12),"")</f>
        <v/>
      </c>
      <c r="F29" s="36">
        <f>IF(11&lt;=SIP_years,$E29-$D29,"")</f>
        <v/>
      </c>
    </row>
    <row r="30" ht="15" customHeight="1" s="21">
      <c r="A30" s="35">
        <f>IF(12&lt;=SIP_years,12,"")</f>
        <v/>
      </c>
      <c r="B30" s="36">
        <f>IF(12&lt;=SIP_years,ROUND(SIP_amt*(1+SIP_step)^11,0),"")</f>
        <v/>
      </c>
      <c r="C30" s="36">
        <f>IF(12&lt;=SIP_years,$B30*12,"")</f>
        <v/>
      </c>
      <c r="D30" s="36">
        <f>IF(12&lt;=SIP_years,$D29+$C30,"")</f>
        <v/>
      </c>
      <c r="E30" s="36">
        <f>IF(12&lt;=SIP_years,$E29*(1+SIP_ret/12)^12+$B30*(((1+SIP_ret/12)^12-1)/(SIP_ret/12))*(1+SIP_ret/12),"")</f>
        <v/>
      </c>
      <c r="F30" s="36">
        <f>IF(12&lt;=SIP_years,$E30-$D30,"")</f>
        <v/>
      </c>
    </row>
    <row r="31" ht="15" customHeight="1" s="21">
      <c r="A31" s="35">
        <f>IF(13&lt;=SIP_years,13,"")</f>
        <v/>
      </c>
      <c r="B31" s="36">
        <f>IF(13&lt;=SIP_years,ROUND(SIP_amt*(1+SIP_step)^12,0),"")</f>
        <v/>
      </c>
      <c r="C31" s="36">
        <f>IF(13&lt;=SIP_years,$B31*12,"")</f>
        <v/>
      </c>
      <c r="D31" s="36">
        <f>IF(13&lt;=SIP_years,$D30+$C31,"")</f>
        <v/>
      </c>
      <c r="E31" s="36">
        <f>IF(13&lt;=SIP_years,$E30*(1+SIP_ret/12)^12+$B31*(((1+SIP_ret/12)^12-1)/(SIP_ret/12))*(1+SIP_ret/12),"")</f>
        <v/>
      </c>
      <c r="F31" s="36">
        <f>IF(13&lt;=SIP_years,$E31-$D31,"")</f>
        <v/>
      </c>
    </row>
    <row r="32" ht="15" customHeight="1" s="21">
      <c r="A32" s="35">
        <f>IF(14&lt;=SIP_years,14,"")</f>
        <v/>
      </c>
      <c r="B32" s="36">
        <f>IF(14&lt;=SIP_years,ROUND(SIP_amt*(1+SIP_step)^13,0),"")</f>
        <v/>
      </c>
      <c r="C32" s="36">
        <f>IF(14&lt;=SIP_years,$B32*12,"")</f>
        <v/>
      </c>
      <c r="D32" s="36">
        <f>IF(14&lt;=SIP_years,$D31+$C32,"")</f>
        <v/>
      </c>
      <c r="E32" s="36">
        <f>IF(14&lt;=SIP_years,$E31*(1+SIP_ret/12)^12+$B32*(((1+SIP_ret/12)^12-1)/(SIP_ret/12))*(1+SIP_ret/12),"")</f>
        <v/>
      </c>
      <c r="F32" s="36">
        <f>IF(14&lt;=SIP_years,$E32-$D32,"")</f>
        <v/>
      </c>
    </row>
    <row r="33" ht="15" customHeight="1" s="21">
      <c r="A33" s="35">
        <f>IF(15&lt;=SIP_years,15,"")</f>
        <v/>
      </c>
      <c r="B33" s="36">
        <f>IF(15&lt;=SIP_years,ROUND(SIP_amt*(1+SIP_step)^14,0),"")</f>
        <v/>
      </c>
      <c r="C33" s="36">
        <f>IF(15&lt;=SIP_years,$B33*12,"")</f>
        <v/>
      </c>
      <c r="D33" s="36">
        <f>IF(15&lt;=SIP_years,$D32+$C33,"")</f>
        <v/>
      </c>
      <c r="E33" s="36">
        <f>IF(15&lt;=SIP_years,$E32*(1+SIP_ret/12)^12+$B33*(((1+SIP_ret/12)^12-1)/(SIP_ret/12))*(1+SIP_ret/12),"")</f>
        <v/>
      </c>
      <c r="F33" s="36">
        <f>IF(15&lt;=SIP_years,$E33-$D33,"")</f>
        <v/>
      </c>
    </row>
    <row r="34" ht="15" customHeight="1" s="21">
      <c r="A34" s="35">
        <f>IF(16&lt;=SIP_years,16,"")</f>
        <v/>
      </c>
      <c r="B34" s="36">
        <f>IF(16&lt;=SIP_years,ROUND(SIP_amt*(1+SIP_step)^15,0),"")</f>
        <v/>
      </c>
      <c r="C34" s="36">
        <f>IF(16&lt;=SIP_years,$B34*12,"")</f>
        <v/>
      </c>
      <c r="D34" s="36">
        <f>IF(16&lt;=SIP_years,$D33+$C34,"")</f>
        <v/>
      </c>
      <c r="E34" s="36">
        <f>IF(16&lt;=SIP_years,$E33*(1+SIP_ret/12)^12+$B34*(((1+SIP_ret/12)^12-1)/(SIP_ret/12))*(1+SIP_ret/12),"")</f>
        <v/>
      </c>
      <c r="F34" s="36">
        <f>IF(16&lt;=SIP_years,$E34-$D34,"")</f>
        <v/>
      </c>
    </row>
    <row r="35" ht="15" customHeight="1" s="21">
      <c r="A35" s="35">
        <f>IF(17&lt;=SIP_years,17,"")</f>
        <v/>
      </c>
      <c r="B35" s="36">
        <f>IF(17&lt;=SIP_years,ROUND(SIP_amt*(1+SIP_step)^16,0),"")</f>
        <v/>
      </c>
      <c r="C35" s="36">
        <f>IF(17&lt;=SIP_years,$B35*12,"")</f>
        <v/>
      </c>
      <c r="D35" s="36">
        <f>IF(17&lt;=SIP_years,$D34+$C35,"")</f>
        <v/>
      </c>
      <c r="E35" s="36">
        <f>IF(17&lt;=SIP_years,$E34*(1+SIP_ret/12)^12+$B35*(((1+SIP_ret/12)^12-1)/(SIP_ret/12))*(1+SIP_ret/12),"")</f>
        <v/>
      </c>
      <c r="F35" s="36">
        <f>IF(17&lt;=SIP_years,$E35-$D35,"")</f>
        <v/>
      </c>
    </row>
    <row r="36" ht="15" customHeight="1" s="21">
      <c r="A36" s="35">
        <f>IF(18&lt;=SIP_years,18,"")</f>
        <v/>
      </c>
      <c r="B36" s="36">
        <f>IF(18&lt;=SIP_years,ROUND(SIP_amt*(1+SIP_step)^17,0),"")</f>
        <v/>
      </c>
      <c r="C36" s="36">
        <f>IF(18&lt;=SIP_years,$B36*12,"")</f>
        <v/>
      </c>
      <c r="D36" s="36">
        <f>IF(18&lt;=SIP_years,$D35+$C36,"")</f>
        <v/>
      </c>
      <c r="E36" s="36">
        <f>IF(18&lt;=SIP_years,$E35*(1+SIP_ret/12)^12+$B36*(((1+SIP_ret/12)^12-1)/(SIP_ret/12))*(1+SIP_ret/12),"")</f>
        <v/>
      </c>
      <c r="F36" s="36">
        <f>IF(18&lt;=SIP_years,$E36-$D36,"")</f>
        <v/>
      </c>
    </row>
    <row r="37" ht="15" customHeight="1" s="21">
      <c r="A37" s="35">
        <f>IF(19&lt;=SIP_years,19,"")</f>
        <v/>
      </c>
      <c r="B37" s="36">
        <f>IF(19&lt;=SIP_years,ROUND(SIP_amt*(1+SIP_step)^18,0),"")</f>
        <v/>
      </c>
      <c r="C37" s="36">
        <f>IF(19&lt;=SIP_years,$B37*12,"")</f>
        <v/>
      </c>
      <c r="D37" s="36">
        <f>IF(19&lt;=SIP_years,$D36+$C37,"")</f>
        <v/>
      </c>
      <c r="E37" s="36">
        <f>IF(19&lt;=SIP_years,$E36*(1+SIP_ret/12)^12+$B37*(((1+SIP_ret/12)^12-1)/(SIP_ret/12))*(1+SIP_ret/12),"")</f>
        <v/>
      </c>
      <c r="F37" s="36">
        <f>IF(19&lt;=SIP_years,$E37-$D37,"")</f>
        <v/>
      </c>
    </row>
    <row r="38" ht="15" customHeight="1" s="21">
      <c r="A38" s="35">
        <f>IF(20&lt;=SIP_years,20,"")</f>
        <v/>
      </c>
      <c r="B38" s="36">
        <f>IF(20&lt;=SIP_years,ROUND(SIP_amt*(1+SIP_step)^19,0),"")</f>
        <v/>
      </c>
      <c r="C38" s="36">
        <f>IF(20&lt;=SIP_years,$B38*12,"")</f>
        <v/>
      </c>
      <c r="D38" s="36">
        <f>IF(20&lt;=SIP_years,$D37+$C38,"")</f>
        <v/>
      </c>
      <c r="E38" s="36">
        <f>IF(20&lt;=SIP_years,$E37*(1+SIP_ret/12)^12+$B38*(((1+SIP_ret/12)^12-1)/(SIP_ret/12))*(1+SIP_ret/12),"")</f>
        <v/>
      </c>
      <c r="F38" s="36">
        <f>IF(20&lt;=SIP_years,$E38-$D38,"")</f>
        <v/>
      </c>
    </row>
    <row r="39" ht="15" customHeight="1" s="21">
      <c r="A39" s="35">
        <f>IF(21&lt;=SIP_years,21,"")</f>
        <v/>
      </c>
      <c r="B39" s="36">
        <f>IF(21&lt;=SIP_years,ROUND(SIP_amt*(1+SIP_step)^20,0),"")</f>
        <v/>
      </c>
      <c r="C39" s="36">
        <f>IF(21&lt;=SIP_years,$B39*12,"")</f>
        <v/>
      </c>
      <c r="D39" s="36">
        <f>IF(21&lt;=SIP_years,$D38+$C39,"")</f>
        <v/>
      </c>
      <c r="E39" s="36">
        <f>IF(21&lt;=SIP_years,$E38*(1+SIP_ret/12)^12+$B39*(((1+SIP_ret/12)^12-1)/(SIP_ret/12))*(1+SIP_ret/12),"")</f>
        <v/>
      </c>
      <c r="F39" s="36">
        <f>IF(21&lt;=SIP_years,$E39-$D39,"")</f>
        <v/>
      </c>
    </row>
    <row r="40" ht="15" customHeight="1" s="21">
      <c r="A40" s="35">
        <f>IF(22&lt;=SIP_years,22,"")</f>
        <v/>
      </c>
      <c r="B40" s="36">
        <f>IF(22&lt;=SIP_years,ROUND(SIP_amt*(1+SIP_step)^21,0),"")</f>
        <v/>
      </c>
      <c r="C40" s="36">
        <f>IF(22&lt;=SIP_years,$B40*12,"")</f>
        <v/>
      </c>
      <c r="D40" s="36">
        <f>IF(22&lt;=SIP_years,$D39+$C40,"")</f>
        <v/>
      </c>
      <c r="E40" s="36">
        <f>IF(22&lt;=SIP_years,$E39*(1+SIP_ret/12)^12+$B40*(((1+SIP_ret/12)^12-1)/(SIP_ret/12))*(1+SIP_ret/12),"")</f>
        <v/>
      </c>
      <c r="F40" s="36">
        <f>IF(22&lt;=SIP_years,$E40-$D40,"")</f>
        <v/>
      </c>
    </row>
    <row r="41" ht="15" customHeight="1" s="21">
      <c r="A41" s="35">
        <f>IF(23&lt;=SIP_years,23,"")</f>
        <v/>
      </c>
      <c r="B41" s="36">
        <f>IF(23&lt;=SIP_years,ROUND(SIP_amt*(1+SIP_step)^22,0),"")</f>
        <v/>
      </c>
      <c r="C41" s="36">
        <f>IF(23&lt;=SIP_years,$B41*12,"")</f>
        <v/>
      </c>
      <c r="D41" s="36">
        <f>IF(23&lt;=SIP_years,$D40+$C41,"")</f>
        <v/>
      </c>
      <c r="E41" s="36">
        <f>IF(23&lt;=SIP_years,$E40*(1+SIP_ret/12)^12+$B41*(((1+SIP_ret/12)^12-1)/(SIP_ret/12))*(1+SIP_ret/12),"")</f>
        <v/>
      </c>
      <c r="F41" s="36">
        <f>IF(23&lt;=SIP_years,$E41-$D41,"")</f>
        <v/>
      </c>
    </row>
    <row r="42" ht="15" customHeight="1" s="21">
      <c r="A42" s="35">
        <f>IF(24&lt;=SIP_years,24,"")</f>
        <v/>
      </c>
      <c r="B42" s="36">
        <f>IF(24&lt;=SIP_years,ROUND(SIP_amt*(1+SIP_step)^23,0),"")</f>
        <v/>
      </c>
      <c r="C42" s="36">
        <f>IF(24&lt;=SIP_years,$B42*12,"")</f>
        <v/>
      </c>
      <c r="D42" s="36">
        <f>IF(24&lt;=SIP_years,$D41+$C42,"")</f>
        <v/>
      </c>
      <c r="E42" s="36">
        <f>IF(24&lt;=SIP_years,$E41*(1+SIP_ret/12)^12+$B42*(((1+SIP_ret/12)^12-1)/(SIP_ret/12))*(1+SIP_ret/12),"")</f>
        <v/>
      </c>
      <c r="F42" s="36">
        <f>IF(24&lt;=SIP_years,$E42-$D42,"")</f>
        <v/>
      </c>
    </row>
    <row r="43" ht="15" customHeight="1" s="21">
      <c r="A43" s="35">
        <f>IF(25&lt;=SIP_years,25,"")</f>
        <v/>
      </c>
      <c r="B43" s="36">
        <f>IF(25&lt;=SIP_years,ROUND(SIP_amt*(1+SIP_step)^24,0),"")</f>
        <v/>
      </c>
      <c r="C43" s="36">
        <f>IF(25&lt;=SIP_years,$B43*12,"")</f>
        <v/>
      </c>
      <c r="D43" s="36">
        <f>IF(25&lt;=SIP_years,$D42+$C43,"")</f>
        <v/>
      </c>
      <c r="E43" s="36">
        <f>IF(25&lt;=SIP_years,$E42*(1+SIP_ret/12)^12+$B43*(((1+SIP_ret/12)^12-1)/(SIP_ret/12))*(1+SIP_ret/12),"")</f>
        <v/>
      </c>
      <c r="F43" s="36">
        <f>IF(25&lt;=SIP_years,$E43-$D43,"")</f>
        <v/>
      </c>
    </row>
    <row r="44" ht="15" customHeight="1" s="21">
      <c r="A44" s="35">
        <f>IF(26&lt;=SIP_years,26,"")</f>
        <v/>
      </c>
      <c r="B44" s="36">
        <f>IF(26&lt;=SIP_years,ROUND(SIP_amt*(1+SIP_step)^25,0),"")</f>
        <v/>
      </c>
      <c r="C44" s="36">
        <f>IF(26&lt;=SIP_years,$B44*12,"")</f>
        <v/>
      </c>
      <c r="D44" s="36">
        <f>IF(26&lt;=SIP_years,$D43+$C44,"")</f>
        <v/>
      </c>
      <c r="E44" s="36">
        <f>IF(26&lt;=SIP_years,$E43*(1+SIP_ret/12)^12+$B44*(((1+SIP_ret/12)^12-1)/(SIP_ret/12))*(1+SIP_ret/12),"")</f>
        <v/>
      </c>
      <c r="F44" s="36">
        <f>IF(26&lt;=SIP_years,$E44-$D44,"")</f>
        <v/>
      </c>
    </row>
    <row r="45" ht="15" customHeight="1" s="21">
      <c r="A45" s="35">
        <f>IF(27&lt;=SIP_years,27,"")</f>
        <v/>
      </c>
      <c r="B45" s="36">
        <f>IF(27&lt;=SIP_years,ROUND(SIP_amt*(1+SIP_step)^26,0),"")</f>
        <v/>
      </c>
      <c r="C45" s="36">
        <f>IF(27&lt;=SIP_years,$B45*12,"")</f>
        <v/>
      </c>
      <c r="D45" s="36">
        <f>IF(27&lt;=SIP_years,$D44+$C45,"")</f>
        <v/>
      </c>
      <c r="E45" s="36">
        <f>IF(27&lt;=SIP_years,$E44*(1+SIP_ret/12)^12+$B45*(((1+SIP_ret/12)^12-1)/(SIP_ret/12))*(1+SIP_ret/12),"")</f>
        <v/>
      </c>
      <c r="F45" s="36">
        <f>IF(27&lt;=SIP_years,$E45-$D45,"")</f>
        <v/>
      </c>
    </row>
    <row r="46" ht="15" customHeight="1" s="21">
      <c r="A46" s="35">
        <f>IF(28&lt;=SIP_years,28,"")</f>
        <v/>
      </c>
      <c r="B46" s="36">
        <f>IF(28&lt;=SIP_years,ROUND(SIP_amt*(1+SIP_step)^27,0),"")</f>
        <v/>
      </c>
      <c r="C46" s="36">
        <f>IF(28&lt;=SIP_years,$B46*12,"")</f>
        <v/>
      </c>
      <c r="D46" s="36">
        <f>IF(28&lt;=SIP_years,$D45+$C46,"")</f>
        <v/>
      </c>
      <c r="E46" s="36">
        <f>IF(28&lt;=SIP_years,$E45*(1+SIP_ret/12)^12+$B46*(((1+SIP_ret/12)^12-1)/(SIP_ret/12))*(1+SIP_ret/12),"")</f>
        <v/>
      </c>
      <c r="F46" s="36">
        <f>IF(28&lt;=SIP_years,$E46-$D46,"")</f>
        <v/>
      </c>
    </row>
    <row r="47" ht="15" customHeight="1" s="21">
      <c r="A47" s="35">
        <f>IF(29&lt;=SIP_years,29,"")</f>
        <v/>
      </c>
      <c r="B47" s="36">
        <f>IF(29&lt;=SIP_years,ROUND(SIP_amt*(1+SIP_step)^28,0),"")</f>
        <v/>
      </c>
      <c r="C47" s="36">
        <f>IF(29&lt;=SIP_years,$B47*12,"")</f>
        <v/>
      </c>
      <c r="D47" s="36">
        <f>IF(29&lt;=SIP_years,$D46+$C47,"")</f>
        <v/>
      </c>
      <c r="E47" s="36">
        <f>IF(29&lt;=SIP_years,$E46*(1+SIP_ret/12)^12+$B47*(((1+SIP_ret/12)^12-1)/(SIP_ret/12))*(1+SIP_ret/12),"")</f>
        <v/>
      </c>
      <c r="F47" s="36">
        <f>IF(29&lt;=SIP_years,$E47-$D47,"")</f>
        <v/>
      </c>
    </row>
    <row r="48" ht="15" customHeight="1" s="21">
      <c r="A48" s="35">
        <f>IF(30&lt;=SIP_years,30,"")</f>
        <v/>
      </c>
      <c r="B48" s="36">
        <f>IF(30&lt;=SIP_years,ROUND(SIP_amt*(1+SIP_step)^29,0),"")</f>
        <v/>
      </c>
      <c r="C48" s="36">
        <f>IF(30&lt;=SIP_years,$B48*12,"")</f>
        <v/>
      </c>
      <c r="D48" s="36">
        <f>IF(30&lt;=SIP_years,$D47+$C48,"")</f>
        <v/>
      </c>
      <c r="E48" s="36">
        <f>IF(30&lt;=SIP_years,$E47*(1+SIP_ret/12)^12+$B48*(((1+SIP_ret/12)^12-1)/(SIP_ret/12))*(1+SIP_ret/12),"")</f>
        <v/>
      </c>
      <c r="F48" s="36">
        <f>IF(30&lt;=SIP_years,$E48-$D48,"")</f>
        <v/>
      </c>
    </row>
    <row r="49" ht="15" customHeight="1" s="21">
      <c r="A49" s="35">
        <f>IF(31&lt;=SIP_years,31,"")</f>
        <v/>
      </c>
      <c r="B49" s="36">
        <f>IF(31&lt;=SIP_years,ROUND(SIP_amt*(1+SIP_step)^30,0),"")</f>
        <v/>
      </c>
      <c r="C49" s="36">
        <f>IF(31&lt;=SIP_years,$B49*12,"")</f>
        <v/>
      </c>
      <c r="D49" s="36">
        <f>IF(31&lt;=SIP_years,$D48+$C49,"")</f>
        <v/>
      </c>
      <c r="E49" s="36">
        <f>IF(31&lt;=SIP_years,$E48*(1+SIP_ret/12)^12+$B49*(((1+SIP_ret/12)^12-1)/(SIP_ret/12))*(1+SIP_ret/12),"")</f>
        <v/>
      </c>
      <c r="F49" s="36">
        <f>IF(31&lt;=SIP_years,$E49-$D49,"")</f>
        <v/>
      </c>
    </row>
    <row r="50" ht="15" customHeight="1" s="21">
      <c r="A50" s="35">
        <f>IF(32&lt;=SIP_years,32,"")</f>
        <v/>
      </c>
      <c r="B50" s="36">
        <f>IF(32&lt;=SIP_years,ROUND(SIP_amt*(1+SIP_step)^31,0),"")</f>
        <v/>
      </c>
      <c r="C50" s="36">
        <f>IF(32&lt;=SIP_years,$B50*12,"")</f>
        <v/>
      </c>
      <c r="D50" s="36">
        <f>IF(32&lt;=SIP_years,$D49+$C50,"")</f>
        <v/>
      </c>
      <c r="E50" s="36">
        <f>IF(32&lt;=SIP_years,$E49*(1+SIP_ret/12)^12+$B50*(((1+SIP_ret/12)^12-1)/(SIP_ret/12))*(1+SIP_ret/12),"")</f>
        <v/>
      </c>
      <c r="F50" s="36">
        <f>IF(32&lt;=SIP_years,$E50-$D50,"")</f>
        <v/>
      </c>
    </row>
    <row r="51" ht="15" customHeight="1" s="21">
      <c r="A51" s="35">
        <f>IF(33&lt;=SIP_years,33,"")</f>
        <v/>
      </c>
      <c r="B51" s="36">
        <f>IF(33&lt;=SIP_years,ROUND(SIP_amt*(1+SIP_step)^32,0),"")</f>
        <v/>
      </c>
      <c r="C51" s="36">
        <f>IF(33&lt;=SIP_years,$B51*12,"")</f>
        <v/>
      </c>
      <c r="D51" s="36">
        <f>IF(33&lt;=SIP_years,$D50+$C51,"")</f>
        <v/>
      </c>
      <c r="E51" s="36">
        <f>IF(33&lt;=SIP_years,$E50*(1+SIP_ret/12)^12+$B51*(((1+SIP_ret/12)^12-1)/(SIP_ret/12))*(1+SIP_ret/12),"")</f>
        <v/>
      </c>
      <c r="F51" s="36">
        <f>IF(33&lt;=SIP_years,$E51-$D51,"")</f>
        <v/>
      </c>
    </row>
    <row r="52" ht="15" customHeight="1" s="21">
      <c r="A52" s="35">
        <f>IF(34&lt;=SIP_years,34,"")</f>
        <v/>
      </c>
      <c r="B52" s="36">
        <f>IF(34&lt;=SIP_years,ROUND(SIP_amt*(1+SIP_step)^33,0),"")</f>
        <v/>
      </c>
      <c r="C52" s="36">
        <f>IF(34&lt;=SIP_years,$B52*12,"")</f>
        <v/>
      </c>
      <c r="D52" s="36">
        <f>IF(34&lt;=SIP_years,$D51+$C52,"")</f>
        <v/>
      </c>
      <c r="E52" s="36">
        <f>IF(34&lt;=SIP_years,$E51*(1+SIP_ret/12)^12+$B52*(((1+SIP_ret/12)^12-1)/(SIP_ret/12))*(1+SIP_ret/12),"")</f>
        <v/>
      </c>
      <c r="F52" s="36">
        <f>IF(34&lt;=SIP_years,$E52-$D52,"")</f>
        <v/>
      </c>
    </row>
    <row r="53" ht="15" customHeight="1" s="21">
      <c r="A53" s="35">
        <f>IF(35&lt;=SIP_years,35,"")</f>
        <v/>
      </c>
      <c r="B53" s="36">
        <f>IF(35&lt;=SIP_years,ROUND(SIP_amt*(1+SIP_step)^34,0),"")</f>
        <v/>
      </c>
      <c r="C53" s="36">
        <f>IF(35&lt;=SIP_years,$B53*12,"")</f>
        <v/>
      </c>
      <c r="D53" s="36">
        <f>IF(35&lt;=SIP_years,$D52+$C53,"")</f>
        <v/>
      </c>
      <c r="E53" s="36">
        <f>IF(35&lt;=SIP_years,$E52*(1+SIP_ret/12)^12+$B53*(((1+SIP_ret/12)^12-1)/(SIP_ret/12))*(1+SIP_ret/12),"")</f>
        <v/>
      </c>
      <c r="F53" s="36">
        <f>IF(35&lt;=SIP_years,$E53-$D53,"")</f>
        <v/>
      </c>
    </row>
    <row r="54" ht="15" customHeight="1" s="21">
      <c r="A54" s="35">
        <f>IF(36&lt;=SIP_years,36,"")</f>
        <v/>
      </c>
      <c r="B54" s="36">
        <f>IF(36&lt;=SIP_years,ROUND(SIP_amt*(1+SIP_step)^35,0),"")</f>
        <v/>
      </c>
      <c r="C54" s="36">
        <f>IF(36&lt;=SIP_years,$B54*12,"")</f>
        <v/>
      </c>
      <c r="D54" s="36">
        <f>IF(36&lt;=SIP_years,$D53+$C54,"")</f>
        <v/>
      </c>
      <c r="E54" s="36">
        <f>IF(36&lt;=SIP_years,$E53*(1+SIP_ret/12)^12+$B54*(((1+SIP_ret/12)^12-1)/(SIP_ret/12))*(1+SIP_ret/12),"")</f>
        <v/>
      </c>
      <c r="F54" s="36">
        <f>IF(36&lt;=SIP_years,$E54-$D54,"")</f>
        <v/>
      </c>
    </row>
    <row r="55" ht="15" customHeight="1" s="21">
      <c r="A55" s="35">
        <f>IF(37&lt;=SIP_years,37,"")</f>
        <v/>
      </c>
      <c r="B55" s="36">
        <f>IF(37&lt;=SIP_years,ROUND(SIP_amt*(1+SIP_step)^36,0),"")</f>
        <v/>
      </c>
      <c r="C55" s="36">
        <f>IF(37&lt;=SIP_years,$B55*12,"")</f>
        <v/>
      </c>
      <c r="D55" s="36">
        <f>IF(37&lt;=SIP_years,$D54+$C55,"")</f>
        <v/>
      </c>
      <c r="E55" s="36">
        <f>IF(37&lt;=SIP_years,$E54*(1+SIP_ret/12)^12+$B55*(((1+SIP_ret/12)^12-1)/(SIP_ret/12))*(1+SIP_ret/12),"")</f>
        <v/>
      </c>
      <c r="F55" s="36">
        <f>IF(37&lt;=SIP_years,$E55-$D55,"")</f>
        <v/>
      </c>
    </row>
    <row r="56" ht="15" customHeight="1" s="21">
      <c r="A56" s="35">
        <f>IF(38&lt;=SIP_years,38,"")</f>
        <v/>
      </c>
      <c r="B56" s="36">
        <f>IF(38&lt;=SIP_years,ROUND(SIP_amt*(1+SIP_step)^37,0),"")</f>
        <v/>
      </c>
      <c r="C56" s="36">
        <f>IF(38&lt;=SIP_years,$B56*12,"")</f>
        <v/>
      </c>
      <c r="D56" s="36">
        <f>IF(38&lt;=SIP_years,$D55+$C56,"")</f>
        <v/>
      </c>
      <c r="E56" s="36">
        <f>IF(38&lt;=SIP_years,$E55*(1+SIP_ret/12)^12+$B56*(((1+SIP_ret/12)^12-1)/(SIP_ret/12))*(1+SIP_ret/12),"")</f>
        <v/>
      </c>
      <c r="F56" s="36">
        <f>IF(38&lt;=SIP_years,$E56-$D56,"")</f>
        <v/>
      </c>
    </row>
    <row r="57" ht="15" customHeight="1" s="21">
      <c r="A57" s="35">
        <f>IF(39&lt;=SIP_years,39,"")</f>
        <v/>
      </c>
      <c r="B57" s="36">
        <f>IF(39&lt;=SIP_years,ROUND(SIP_amt*(1+SIP_step)^38,0),"")</f>
        <v/>
      </c>
      <c r="C57" s="36">
        <f>IF(39&lt;=SIP_years,$B57*12,"")</f>
        <v/>
      </c>
      <c r="D57" s="36">
        <f>IF(39&lt;=SIP_years,$D56+$C57,"")</f>
        <v/>
      </c>
      <c r="E57" s="36">
        <f>IF(39&lt;=SIP_years,$E56*(1+SIP_ret/12)^12+$B57*(((1+SIP_ret/12)^12-1)/(SIP_ret/12))*(1+SIP_ret/12),"")</f>
        <v/>
      </c>
      <c r="F57" s="36">
        <f>IF(39&lt;=SIP_years,$E57-$D57,"")</f>
        <v/>
      </c>
    </row>
    <row r="58" ht="15" customHeight="1" s="21">
      <c r="A58" s="35">
        <f>IF(40&lt;=SIP_years,40,"")</f>
        <v/>
      </c>
      <c r="B58" s="36">
        <f>IF(40&lt;=SIP_years,ROUND(SIP_amt*(1+SIP_step)^39,0),"")</f>
        <v/>
      </c>
      <c r="C58" s="36">
        <f>IF(40&lt;=SIP_years,$B58*12,"")</f>
        <v/>
      </c>
      <c r="D58" s="36">
        <f>IF(40&lt;=SIP_years,$D57+$C58,"")</f>
        <v/>
      </c>
      <c r="E58" s="36">
        <f>IF(40&lt;=SIP_years,$E57*(1+SIP_ret/12)^12+$B58*(((1+SIP_ret/12)^12-1)/(SIP_ret/12))*(1+SIP_ret/12),"")</f>
        <v/>
      </c>
      <c r="F58" s="36">
        <f>IF(40&lt;=SIP_years,$E58-$D58,"")</f>
        <v/>
      </c>
    </row>
    <row r="59"/>
    <row r="60" ht="15" customHeight="1" s="21">
      <c r="A60" s="27" t="inlineStr">
        <is>
          <t>Prepared by CA Tirumalesh Malla  |  calcguru.in  |  Returns are assumptions, not guaranteed - mutual funds are subject to market risk</t>
        </is>
      </c>
    </row>
  </sheetData>
  <sheetProtection selectLockedCells="0" selectUnlockedCells="0" sheet="1" objects="0" insertRows="1" insertHyperlinks="1" autoFilter="0" scenarios="0" formatColumns="0" deleteColumns="1" insertColumns="0" pivotTables="1" deleteRows="1" formatCells="0" formatRows="0" sort="0" password="BBBC"/>
  <mergeCells count="9">
    <mergeCell ref="A2:F2"/>
    <mergeCell ref="A16:B16"/>
    <mergeCell ref="A60:F60"/>
    <mergeCell ref="A15:B15"/>
    <mergeCell ref="A1:F1"/>
    <mergeCell ref="A5:B5"/>
    <mergeCell ref="A14:B14"/>
    <mergeCell ref="A17:B17"/>
    <mergeCell ref="A3:F3"/>
  </mergeCell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E59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pane xSplit="0" ySplit="17" topLeftCell="A18" activePane="bottomLeft" state="frozen"/>
      <selection pane="topLeft" activeCell="A1" activeCellId="0" sqref="A1"/>
      <selection pane="bottomLeft" activeCell="A1" activeCellId="0" sqref="A1"/>
    </sheetView>
  </sheetViews>
  <sheetFormatPr baseColWidth="8" defaultColWidth="8.6796875" defaultRowHeight="15" customHeight="0" zeroHeight="0" outlineLevelRow="0"/>
  <cols>
    <col width="8" customWidth="1" style="20" min="1" max="1"/>
    <col width="16" customWidth="1" style="20" min="2" max="2"/>
    <col width="14" customWidth="1" style="20" min="3" max="3"/>
    <col width="16" customWidth="1" style="20" min="4" max="4"/>
  </cols>
  <sheetData>
    <row r="1" ht="25.5" customHeight="1" s="21">
      <c r="A1" s="22" t="inlineStr">
        <is>
          <t>CalcGuru</t>
        </is>
      </c>
    </row>
    <row r="2" ht="19.5" customHeight="1" s="21">
      <c r="A2" s="23" t="inlineStr">
        <is>
          <t>Lumpsum Calculator</t>
        </is>
      </c>
    </row>
    <row r="3" ht="15.75" customHeight="1" s="21">
      <c r="A3" s="24" t="inlineStr">
        <is>
          <t>One-time investment growth, year-wise, with CAGR and inflation-adjusted real value.</t>
        </is>
      </c>
    </row>
    <row r="4"/>
    <row r="5" ht="15" customHeight="1" s="21">
      <c r="A5" s="25" t="inlineStr">
        <is>
          <t>Your inputs</t>
        </is>
      </c>
    </row>
    <row r="6" ht="15" customHeight="1" s="21">
      <c r="A6" s="28" t="inlineStr">
        <is>
          <t>Investment amount (Rs)</t>
        </is>
      </c>
      <c r="C6" s="29" t="n">
        <v>100000</v>
      </c>
    </row>
    <row r="7" ht="15" customHeight="1" s="21">
      <c r="A7" s="28" t="inlineStr">
        <is>
          <t>Expected annual return (%)</t>
        </is>
      </c>
      <c r="C7" s="30" t="n">
        <v>0.12</v>
      </c>
    </row>
    <row r="8" ht="15" customHeight="1" s="21">
      <c r="A8" s="28" t="inlineStr">
        <is>
          <t>Period (years)</t>
        </is>
      </c>
      <c r="C8" s="31" t="n">
        <v>15</v>
      </c>
    </row>
    <row r="9" ht="15" customHeight="1" s="21">
      <c r="A9" s="28" t="inlineStr">
        <is>
          <t>Expected inflation (%)</t>
        </is>
      </c>
      <c r="C9" s="30" t="n">
        <v>0.06</v>
      </c>
    </row>
    <row r="10"/>
    <row r="11" ht="15" customHeight="1" s="21">
      <c r="A11" s="25" t="inlineStr">
        <is>
          <t>Summary</t>
        </is>
      </c>
    </row>
    <row r="12" ht="15" customHeight="1" s="21">
      <c r="A12" s="32" t="inlineStr">
        <is>
          <t>Maturity value</t>
        </is>
      </c>
      <c r="C12" s="37">
        <f>LMP_amt*(1+LMP_ret)^LMP_years</f>
        <v/>
      </c>
    </row>
    <row r="13" ht="15" customHeight="1" s="21">
      <c r="A13" s="32" t="inlineStr">
        <is>
          <t>Wealth gain</t>
        </is>
      </c>
      <c r="C13" s="37">
        <f>LMP_amt*(1+LMP_ret)^LMP_years-LMP_amt</f>
        <v/>
      </c>
    </row>
    <row r="14" ht="15" customHeight="1" s="21">
      <c r="A14" s="32" t="inlineStr">
        <is>
          <t>CAGR (%)</t>
        </is>
      </c>
      <c r="C14" s="38">
        <f>LMP_ret</f>
        <v/>
      </c>
    </row>
    <row r="15" ht="15" customHeight="1" s="21">
      <c r="A15" s="32" t="inlineStr">
        <is>
          <t>Inflation-adjusted maturity</t>
        </is>
      </c>
      <c r="C15" s="37">
        <f>LMP_amt*(1+LMP_ret)^LMP_years/((1+LMP_infl)^LMP_years)</f>
        <v/>
      </c>
    </row>
    <row r="16"/>
    <row r="17" ht="27.75" customHeight="1" s="21">
      <c r="A17" s="34" t="inlineStr">
        <is>
          <t>Year</t>
        </is>
      </c>
      <c r="B17" s="34" t="inlineStr">
        <is>
          <t>Opening value</t>
        </is>
      </c>
      <c r="C17" s="34" t="inlineStr">
        <is>
          <t>Growth</t>
        </is>
      </c>
      <c r="D17" s="34" t="inlineStr">
        <is>
          <t>Closing value</t>
        </is>
      </c>
    </row>
    <row r="18" ht="15" customHeight="1" s="21">
      <c r="A18" s="35">
        <f>IF(1&lt;=LMP_years,1,"")</f>
        <v/>
      </c>
      <c r="B18" s="36">
        <f>IF(1&lt;=LMP_years,LMP_amt,"")</f>
        <v/>
      </c>
      <c r="C18" s="36">
        <f>IF(1&lt;=LMP_years,$B18*LMP_ret,"")</f>
        <v/>
      </c>
      <c r="D18" s="36">
        <f>IF(1&lt;=LMP_years,$B18+$C18,"")</f>
        <v/>
      </c>
    </row>
    <row r="19" ht="15" customHeight="1" s="21">
      <c r="A19" s="35">
        <f>IF(2&lt;=LMP_years,2,"")</f>
        <v/>
      </c>
      <c r="B19" s="36">
        <f>IF(2&lt;=LMP_years,$D18,"")</f>
        <v/>
      </c>
      <c r="C19" s="36">
        <f>IF(2&lt;=LMP_years,$B19*LMP_ret,"")</f>
        <v/>
      </c>
      <c r="D19" s="36">
        <f>IF(2&lt;=LMP_years,$B19+$C19,"")</f>
        <v/>
      </c>
    </row>
    <row r="20" ht="15" customHeight="1" s="21">
      <c r="A20" s="35">
        <f>IF(3&lt;=LMP_years,3,"")</f>
        <v/>
      </c>
      <c r="B20" s="36">
        <f>IF(3&lt;=LMP_years,$D19,"")</f>
        <v/>
      </c>
      <c r="C20" s="36">
        <f>IF(3&lt;=LMP_years,$B20*LMP_ret,"")</f>
        <v/>
      </c>
      <c r="D20" s="36">
        <f>IF(3&lt;=LMP_years,$B20+$C20,"")</f>
        <v/>
      </c>
    </row>
    <row r="21" ht="15" customHeight="1" s="21">
      <c r="A21" s="35">
        <f>IF(4&lt;=LMP_years,4,"")</f>
        <v/>
      </c>
      <c r="B21" s="36">
        <f>IF(4&lt;=LMP_years,$D20,"")</f>
        <v/>
      </c>
      <c r="C21" s="36">
        <f>IF(4&lt;=LMP_years,$B21*LMP_ret,"")</f>
        <v/>
      </c>
      <c r="D21" s="36">
        <f>IF(4&lt;=LMP_years,$B21+$C21,"")</f>
        <v/>
      </c>
    </row>
    <row r="22" ht="15" customHeight="1" s="21">
      <c r="A22" s="35">
        <f>IF(5&lt;=LMP_years,5,"")</f>
        <v/>
      </c>
      <c r="B22" s="36">
        <f>IF(5&lt;=LMP_years,$D21,"")</f>
        <v/>
      </c>
      <c r="C22" s="36">
        <f>IF(5&lt;=LMP_years,$B22*LMP_ret,"")</f>
        <v/>
      </c>
      <c r="D22" s="36">
        <f>IF(5&lt;=LMP_years,$B22+$C22,"")</f>
        <v/>
      </c>
    </row>
    <row r="23" ht="15" customHeight="1" s="21">
      <c r="A23" s="35">
        <f>IF(6&lt;=LMP_years,6,"")</f>
        <v/>
      </c>
      <c r="B23" s="36">
        <f>IF(6&lt;=LMP_years,$D22,"")</f>
        <v/>
      </c>
      <c r="C23" s="36">
        <f>IF(6&lt;=LMP_years,$B23*LMP_ret,"")</f>
        <v/>
      </c>
      <c r="D23" s="36">
        <f>IF(6&lt;=LMP_years,$B23+$C23,"")</f>
        <v/>
      </c>
    </row>
    <row r="24" ht="15" customHeight="1" s="21">
      <c r="A24" s="35">
        <f>IF(7&lt;=LMP_years,7,"")</f>
        <v/>
      </c>
      <c r="B24" s="36">
        <f>IF(7&lt;=LMP_years,$D23,"")</f>
        <v/>
      </c>
      <c r="C24" s="36">
        <f>IF(7&lt;=LMP_years,$B24*LMP_ret,"")</f>
        <v/>
      </c>
      <c r="D24" s="36">
        <f>IF(7&lt;=LMP_years,$B24+$C24,"")</f>
        <v/>
      </c>
    </row>
    <row r="25" ht="15" customHeight="1" s="21">
      <c r="A25" s="35">
        <f>IF(8&lt;=LMP_years,8,"")</f>
        <v/>
      </c>
      <c r="B25" s="36">
        <f>IF(8&lt;=LMP_years,$D24,"")</f>
        <v/>
      </c>
      <c r="C25" s="36">
        <f>IF(8&lt;=LMP_years,$B25*LMP_ret,"")</f>
        <v/>
      </c>
      <c r="D25" s="36">
        <f>IF(8&lt;=LMP_years,$B25+$C25,"")</f>
        <v/>
      </c>
    </row>
    <row r="26" ht="15" customHeight="1" s="21">
      <c r="A26" s="35">
        <f>IF(9&lt;=LMP_years,9,"")</f>
        <v/>
      </c>
      <c r="B26" s="36">
        <f>IF(9&lt;=LMP_years,$D25,"")</f>
        <v/>
      </c>
      <c r="C26" s="36">
        <f>IF(9&lt;=LMP_years,$B26*LMP_ret,"")</f>
        <v/>
      </c>
      <c r="D26" s="36">
        <f>IF(9&lt;=LMP_years,$B26+$C26,"")</f>
        <v/>
      </c>
    </row>
    <row r="27" ht="15" customHeight="1" s="21">
      <c r="A27" s="35">
        <f>IF(10&lt;=LMP_years,10,"")</f>
        <v/>
      </c>
      <c r="B27" s="36">
        <f>IF(10&lt;=LMP_years,$D26,"")</f>
        <v/>
      </c>
      <c r="C27" s="36">
        <f>IF(10&lt;=LMP_years,$B27*LMP_ret,"")</f>
        <v/>
      </c>
      <c r="D27" s="36">
        <f>IF(10&lt;=LMP_years,$B27+$C27,"")</f>
        <v/>
      </c>
    </row>
    <row r="28" ht="15" customHeight="1" s="21">
      <c r="A28" s="35">
        <f>IF(11&lt;=LMP_years,11,"")</f>
        <v/>
      </c>
      <c r="B28" s="36">
        <f>IF(11&lt;=LMP_years,$D27,"")</f>
        <v/>
      </c>
      <c r="C28" s="36">
        <f>IF(11&lt;=LMP_years,$B28*LMP_ret,"")</f>
        <v/>
      </c>
      <c r="D28" s="36">
        <f>IF(11&lt;=LMP_years,$B28+$C28,"")</f>
        <v/>
      </c>
    </row>
    <row r="29" ht="15" customHeight="1" s="21">
      <c r="A29" s="35">
        <f>IF(12&lt;=LMP_years,12,"")</f>
        <v/>
      </c>
      <c r="B29" s="36">
        <f>IF(12&lt;=LMP_years,$D28,"")</f>
        <v/>
      </c>
      <c r="C29" s="36">
        <f>IF(12&lt;=LMP_years,$B29*LMP_ret,"")</f>
        <v/>
      </c>
      <c r="D29" s="36">
        <f>IF(12&lt;=LMP_years,$B29+$C29,"")</f>
        <v/>
      </c>
    </row>
    <row r="30" ht="15" customHeight="1" s="21">
      <c r="A30" s="35">
        <f>IF(13&lt;=LMP_years,13,"")</f>
        <v/>
      </c>
      <c r="B30" s="36">
        <f>IF(13&lt;=LMP_years,$D29,"")</f>
        <v/>
      </c>
      <c r="C30" s="36">
        <f>IF(13&lt;=LMP_years,$B30*LMP_ret,"")</f>
        <v/>
      </c>
      <c r="D30" s="36">
        <f>IF(13&lt;=LMP_years,$B30+$C30,"")</f>
        <v/>
      </c>
    </row>
    <row r="31" ht="15" customHeight="1" s="21">
      <c r="A31" s="35">
        <f>IF(14&lt;=LMP_years,14,"")</f>
        <v/>
      </c>
      <c r="B31" s="36">
        <f>IF(14&lt;=LMP_years,$D30,"")</f>
        <v/>
      </c>
      <c r="C31" s="36">
        <f>IF(14&lt;=LMP_years,$B31*LMP_ret,"")</f>
        <v/>
      </c>
      <c r="D31" s="36">
        <f>IF(14&lt;=LMP_years,$B31+$C31,"")</f>
        <v/>
      </c>
    </row>
    <row r="32" ht="15" customHeight="1" s="21">
      <c r="A32" s="35">
        <f>IF(15&lt;=LMP_years,15,"")</f>
        <v/>
      </c>
      <c r="B32" s="36">
        <f>IF(15&lt;=LMP_years,$D31,"")</f>
        <v/>
      </c>
      <c r="C32" s="36">
        <f>IF(15&lt;=LMP_years,$B32*LMP_ret,"")</f>
        <v/>
      </c>
      <c r="D32" s="36">
        <f>IF(15&lt;=LMP_years,$B32+$C32,"")</f>
        <v/>
      </c>
    </row>
    <row r="33" ht="15" customHeight="1" s="21">
      <c r="A33" s="35">
        <f>IF(16&lt;=LMP_years,16,"")</f>
        <v/>
      </c>
      <c r="B33" s="36">
        <f>IF(16&lt;=LMP_years,$D32,"")</f>
        <v/>
      </c>
      <c r="C33" s="36">
        <f>IF(16&lt;=LMP_years,$B33*LMP_ret,"")</f>
        <v/>
      </c>
      <c r="D33" s="36">
        <f>IF(16&lt;=LMP_years,$B33+$C33,"")</f>
        <v/>
      </c>
    </row>
    <row r="34" ht="15" customHeight="1" s="21">
      <c r="A34" s="35">
        <f>IF(17&lt;=LMP_years,17,"")</f>
        <v/>
      </c>
      <c r="B34" s="36">
        <f>IF(17&lt;=LMP_years,$D33,"")</f>
        <v/>
      </c>
      <c r="C34" s="36">
        <f>IF(17&lt;=LMP_years,$B34*LMP_ret,"")</f>
        <v/>
      </c>
      <c r="D34" s="36">
        <f>IF(17&lt;=LMP_years,$B34+$C34,"")</f>
        <v/>
      </c>
    </row>
    <row r="35" ht="15" customHeight="1" s="21">
      <c r="A35" s="35">
        <f>IF(18&lt;=LMP_years,18,"")</f>
        <v/>
      </c>
      <c r="B35" s="36">
        <f>IF(18&lt;=LMP_years,$D34,"")</f>
        <v/>
      </c>
      <c r="C35" s="36">
        <f>IF(18&lt;=LMP_years,$B35*LMP_ret,"")</f>
        <v/>
      </c>
      <c r="D35" s="36">
        <f>IF(18&lt;=LMP_years,$B35+$C35,"")</f>
        <v/>
      </c>
    </row>
    <row r="36" ht="15" customHeight="1" s="21">
      <c r="A36" s="35">
        <f>IF(19&lt;=LMP_years,19,"")</f>
        <v/>
      </c>
      <c r="B36" s="36">
        <f>IF(19&lt;=LMP_years,$D35,"")</f>
        <v/>
      </c>
      <c r="C36" s="36">
        <f>IF(19&lt;=LMP_years,$B36*LMP_ret,"")</f>
        <v/>
      </c>
      <c r="D36" s="36">
        <f>IF(19&lt;=LMP_years,$B36+$C36,"")</f>
        <v/>
      </c>
    </row>
    <row r="37" ht="15" customHeight="1" s="21">
      <c r="A37" s="35">
        <f>IF(20&lt;=LMP_years,20,"")</f>
        <v/>
      </c>
      <c r="B37" s="36">
        <f>IF(20&lt;=LMP_years,$D36,"")</f>
        <v/>
      </c>
      <c r="C37" s="36">
        <f>IF(20&lt;=LMP_years,$B37*LMP_ret,"")</f>
        <v/>
      </c>
      <c r="D37" s="36">
        <f>IF(20&lt;=LMP_years,$B37+$C37,"")</f>
        <v/>
      </c>
    </row>
    <row r="38" ht="15" customHeight="1" s="21">
      <c r="A38" s="35">
        <f>IF(21&lt;=LMP_years,21,"")</f>
        <v/>
      </c>
      <c r="B38" s="36">
        <f>IF(21&lt;=LMP_years,$D37,"")</f>
        <v/>
      </c>
      <c r="C38" s="36">
        <f>IF(21&lt;=LMP_years,$B38*LMP_ret,"")</f>
        <v/>
      </c>
      <c r="D38" s="36">
        <f>IF(21&lt;=LMP_years,$B38+$C38,"")</f>
        <v/>
      </c>
    </row>
    <row r="39" ht="15" customHeight="1" s="21">
      <c r="A39" s="35">
        <f>IF(22&lt;=LMP_years,22,"")</f>
        <v/>
      </c>
      <c r="B39" s="36">
        <f>IF(22&lt;=LMP_years,$D38,"")</f>
        <v/>
      </c>
      <c r="C39" s="36">
        <f>IF(22&lt;=LMP_years,$B39*LMP_ret,"")</f>
        <v/>
      </c>
      <c r="D39" s="36">
        <f>IF(22&lt;=LMP_years,$B39+$C39,"")</f>
        <v/>
      </c>
    </row>
    <row r="40" ht="15" customHeight="1" s="21">
      <c r="A40" s="35">
        <f>IF(23&lt;=LMP_years,23,"")</f>
        <v/>
      </c>
      <c r="B40" s="36">
        <f>IF(23&lt;=LMP_years,$D39,"")</f>
        <v/>
      </c>
      <c r="C40" s="36">
        <f>IF(23&lt;=LMP_years,$B40*LMP_ret,"")</f>
        <v/>
      </c>
      <c r="D40" s="36">
        <f>IF(23&lt;=LMP_years,$B40+$C40,"")</f>
        <v/>
      </c>
    </row>
    <row r="41" ht="15" customHeight="1" s="21">
      <c r="A41" s="35">
        <f>IF(24&lt;=LMP_years,24,"")</f>
        <v/>
      </c>
      <c r="B41" s="36">
        <f>IF(24&lt;=LMP_years,$D40,"")</f>
        <v/>
      </c>
      <c r="C41" s="36">
        <f>IF(24&lt;=LMP_years,$B41*LMP_ret,"")</f>
        <v/>
      </c>
      <c r="D41" s="36">
        <f>IF(24&lt;=LMP_years,$B41+$C41,"")</f>
        <v/>
      </c>
    </row>
    <row r="42" ht="15" customHeight="1" s="21">
      <c r="A42" s="35">
        <f>IF(25&lt;=LMP_years,25,"")</f>
        <v/>
      </c>
      <c r="B42" s="36">
        <f>IF(25&lt;=LMP_years,$D41,"")</f>
        <v/>
      </c>
      <c r="C42" s="36">
        <f>IF(25&lt;=LMP_years,$B42*LMP_ret,"")</f>
        <v/>
      </c>
      <c r="D42" s="36">
        <f>IF(25&lt;=LMP_years,$B42+$C42,"")</f>
        <v/>
      </c>
    </row>
    <row r="43" ht="15" customHeight="1" s="21">
      <c r="A43" s="35">
        <f>IF(26&lt;=LMP_years,26,"")</f>
        <v/>
      </c>
      <c r="B43" s="36">
        <f>IF(26&lt;=LMP_years,$D42,"")</f>
        <v/>
      </c>
      <c r="C43" s="36">
        <f>IF(26&lt;=LMP_years,$B43*LMP_ret,"")</f>
        <v/>
      </c>
      <c r="D43" s="36">
        <f>IF(26&lt;=LMP_years,$B43+$C43,"")</f>
        <v/>
      </c>
    </row>
    <row r="44" ht="15" customHeight="1" s="21">
      <c r="A44" s="35">
        <f>IF(27&lt;=LMP_years,27,"")</f>
        <v/>
      </c>
      <c r="B44" s="36">
        <f>IF(27&lt;=LMP_years,$D43,"")</f>
        <v/>
      </c>
      <c r="C44" s="36">
        <f>IF(27&lt;=LMP_years,$B44*LMP_ret,"")</f>
        <v/>
      </c>
      <c r="D44" s="36">
        <f>IF(27&lt;=LMP_years,$B44+$C44,"")</f>
        <v/>
      </c>
    </row>
    <row r="45" ht="15" customHeight="1" s="21">
      <c r="A45" s="35">
        <f>IF(28&lt;=LMP_years,28,"")</f>
        <v/>
      </c>
      <c r="B45" s="36">
        <f>IF(28&lt;=LMP_years,$D44,"")</f>
        <v/>
      </c>
      <c r="C45" s="36">
        <f>IF(28&lt;=LMP_years,$B45*LMP_ret,"")</f>
        <v/>
      </c>
      <c r="D45" s="36">
        <f>IF(28&lt;=LMP_years,$B45+$C45,"")</f>
        <v/>
      </c>
    </row>
    <row r="46" ht="15" customHeight="1" s="21">
      <c r="A46" s="35">
        <f>IF(29&lt;=LMP_years,29,"")</f>
        <v/>
      </c>
      <c r="B46" s="36">
        <f>IF(29&lt;=LMP_years,$D45,"")</f>
        <v/>
      </c>
      <c r="C46" s="36">
        <f>IF(29&lt;=LMP_years,$B46*LMP_ret,"")</f>
        <v/>
      </c>
      <c r="D46" s="36">
        <f>IF(29&lt;=LMP_years,$B46+$C46,"")</f>
        <v/>
      </c>
    </row>
    <row r="47" ht="15" customHeight="1" s="21">
      <c r="A47" s="35">
        <f>IF(30&lt;=LMP_years,30,"")</f>
        <v/>
      </c>
      <c r="B47" s="36">
        <f>IF(30&lt;=LMP_years,$D46,"")</f>
        <v/>
      </c>
      <c r="C47" s="36">
        <f>IF(30&lt;=LMP_years,$B47*LMP_ret,"")</f>
        <v/>
      </c>
      <c r="D47" s="36">
        <f>IF(30&lt;=LMP_years,$B47+$C47,"")</f>
        <v/>
      </c>
    </row>
    <row r="48" ht="15" customHeight="1" s="21">
      <c r="A48" s="35">
        <f>IF(31&lt;=LMP_years,31,"")</f>
        <v/>
      </c>
      <c r="B48" s="36">
        <f>IF(31&lt;=LMP_years,$D47,"")</f>
        <v/>
      </c>
      <c r="C48" s="36">
        <f>IF(31&lt;=LMP_years,$B48*LMP_ret,"")</f>
        <v/>
      </c>
      <c r="D48" s="36">
        <f>IF(31&lt;=LMP_years,$B48+$C48,"")</f>
        <v/>
      </c>
    </row>
    <row r="49" ht="15" customHeight="1" s="21">
      <c r="A49" s="35">
        <f>IF(32&lt;=LMP_years,32,"")</f>
        <v/>
      </c>
      <c r="B49" s="36">
        <f>IF(32&lt;=LMP_years,$D48,"")</f>
        <v/>
      </c>
      <c r="C49" s="36">
        <f>IF(32&lt;=LMP_years,$B49*LMP_ret,"")</f>
        <v/>
      </c>
      <c r="D49" s="36">
        <f>IF(32&lt;=LMP_years,$B49+$C49,"")</f>
        <v/>
      </c>
    </row>
    <row r="50" ht="15" customHeight="1" s="21">
      <c r="A50" s="35">
        <f>IF(33&lt;=LMP_years,33,"")</f>
        <v/>
      </c>
      <c r="B50" s="36">
        <f>IF(33&lt;=LMP_years,$D49,"")</f>
        <v/>
      </c>
      <c r="C50" s="36">
        <f>IF(33&lt;=LMP_years,$B50*LMP_ret,"")</f>
        <v/>
      </c>
      <c r="D50" s="36">
        <f>IF(33&lt;=LMP_years,$B50+$C50,"")</f>
        <v/>
      </c>
    </row>
    <row r="51" ht="15" customHeight="1" s="21">
      <c r="A51" s="35">
        <f>IF(34&lt;=LMP_years,34,"")</f>
        <v/>
      </c>
      <c r="B51" s="36">
        <f>IF(34&lt;=LMP_years,$D50,"")</f>
        <v/>
      </c>
      <c r="C51" s="36">
        <f>IF(34&lt;=LMP_years,$B51*LMP_ret,"")</f>
        <v/>
      </c>
      <c r="D51" s="36">
        <f>IF(34&lt;=LMP_years,$B51+$C51,"")</f>
        <v/>
      </c>
    </row>
    <row r="52" ht="15" customHeight="1" s="21">
      <c r="A52" s="35">
        <f>IF(35&lt;=LMP_years,35,"")</f>
        <v/>
      </c>
      <c r="B52" s="36">
        <f>IF(35&lt;=LMP_years,$D51,"")</f>
        <v/>
      </c>
      <c r="C52" s="36">
        <f>IF(35&lt;=LMP_years,$B52*LMP_ret,"")</f>
        <v/>
      </c>
      <c r="D52" s="36">
        <f>IF(35&lt;=LMP_years,$B52+$C52,"")</f>
        <v/>
      </c>
    </row>
    <row r="53" ht="15" customHeight="1" s="21">
      <c r="A53" s="35">
        <f>IF(36&lt;=LMP_years,36,"")</f>
        <v/>
      </c>
      <c r="B53" s="36">
        <f>IF(36&lt;=LMP_years,$D52,"")</f>
        <v/>
      </c>
      <c r="C53" s="36">
        <f>IF(36&lt;=LMP_years,$B53*LMP_ret,"")</f>
        <v/>
      </c>
      <c r="D53" s="36">
        <f>IF(36&lt;=LMP_years,$B53+$C53,"")</f>
        <v/>
      </c>
    </row>
    <row r="54" ht="15" customHeight="1" s="21">
      <c r="A54" s="35">
        <f>IF(37&lt;=LMP_years,37,"")</f>
        <v/>
      </c>
      <c r="B54" s="36">
        <f>IF(37&lt;=LMP_years,$D53,"")</f>
        <v/>
      </c>
      <c r="C54" s="36">
        <f>IF(37&lt;=LMP_years,$B54*LMP_ret,"")</f>
        <v/>
      </c>
      <c r="D54" s="36">
        <f>IF(37&lt;=LMP_years,$B54+$C54,"")</f>
        <v/>
      </c>
    </row>
    <row r="55" ht="15" customHeight="1" s="21">
      <c r="A55" s="35">
        <f>IF(38&lt;=LMP_years,38,"")</f>
        <v/>
      </c>
      <c r="B55" s="36">
        <f>IF(38&lt;=LMP_years,$D54,"")</f>
        <v/>
      </c>
      <c r="C55" s="36">
        <f>IF(38&lt;=LMP_years,$B55*LMP_ret,"")</f>
        <v/>
      </c>
      <c r="D55" s="36">
        <f>IF(38&lt;=LMP_years,$B55+$C55,"")</f>
        <v/>
      </c>
    </row>
    <row r="56" ht="15" customHeight="1" s="21">
      <c r="A56" s="35">
        <f>IF(39&lt;=LMP_years,39,"")</f>
        <v/>
      </c>
      <c r="B56" s="36">
        <f>IF(39&lt;=LMP_years,$D55,"")</f>
        <v/>
      </c>
      <c r="C56" s="36">
        <f>IF(39&lt;=LMP_years,$B56*LMP_ret,"")</f>
        <v/>
      </c>
      <c r="D56" s="36">
        <f>IF(39&lt;=LMP_years,$B56+$C56,"")</f>
        <v/>
      </c>
    </row>
    <row r="57" ht="15" customHeight="1" s="21">
      <c r="A57" s="35">
        <f>IF(40&lt;=LMP_years,40,"")</f>
        <v/>
      </c>
      <c r="B57" s="36">
        <f>IF(40&lt;=LMP_years,$D56,"")</f>
        <v/>
      </c>
      <c r="C57" s="36">
        <f>IF(40&lt;=LMP_years,$B57*LMP_ret,"")</f>
        <v/>
      </c>
      <c r="D57" s="36">
        <f>IF(40&lt;=LMP_years,$B57+$C57,"")</f>
        <v/>
      </c>
    </row>
    <row r="58"/>
    <row r="59" ht="15" customHeight="1" s="21">
      <c r="A59" s="27" t="inlineStr">
        <is>
          <t>Prepared by CA Tirumalesh Malla  |  calcguru.in  |  Returns are assumptions, not guaranteed - mutual funds are subject to market risk</t>
        </is>
      </c>
    </row>
  </sheetData>
  <sheetProtection selectLockedCells="0" selectUnlockedCells="0" sheet="1" objects="0" insertRows="1" insertHyperlinks="1" autoFilter="0" scenarios="0" formatColumns="0" deleteColumns="1" insertColumns="0" pivotTables="1" deleteRows="1" formatCells="0" formatRows="0" sort="0" password="BBBC"/>
  <mergeCells count="12">
    <mergeCell ref="A15:B15"/>
    <mergeCell ref="A7:B7"/>
    <mergeCell ref="A2:E2"/>
    <mergeCell ref="A3:E3"/>
    <mergeCell ref="A13:B13"/>
    <mergeCell ref="A1:E1"/>
    <mergeCell ref="A14:B14"/>
    <mergeCell ref="A59:D59"/>
    <mergeCell ref="A9:B9"/>
    <mergeCell ref="A8:B8"/>
    <mergeCell ref="A6:B6"/>
    <mergeCell ref="A12:B12"/>
  </mergeCell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:language xmlns:dc="http://purl.org/dc/elements/1.1/">en-US</dc:language>
  <dcterms:created xmlns:dcterms="http://purl.org/dc/terms/" xmlns:xsi="http://www.w3.org/2001/XMLSchema-instance" xsi:type="dcterms:W3CDTF">2026-06-11T05:30:02Z</dcterms:created>
  <dcterms:modified xmlns:dcterms="http://purl.org/dc/terms/" xmlns:xsi="http://www.w3.org/2001/XMLSchema-instance" xsi:type="dcterms:W3CDTF">2026-06-11T05:30:28Z</dcterms:modified>
  <cp:revision>0</cp:revision>
</cp:coreProperties>
</file>