
<file path=[Content_Types].xml><?xml version="1.0" encoding="utf-8"?>
<Types xmlns="http://schemas.openxmlformats.org/package/2006/content-types">
  <Default Extension="fntdata" ContentType="application/x-fontdata"/>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theme/theme1.xml" ContentType="application/vnd.openxmlformats-officedocument.theme+xml"/>
  <Override PartName="/xl/styles.xml" ContentType="application/vnd.openxmlformats-officedocument.spreadsheetml.styl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fileVersion appName="Calc" lowestEdited="4"/>
  <workbookPr backupFile="false" showObjects="all" date1904="false"/>
  <workbookProtection/>
  <bookViews>
    <workbookView showHorizontalScroll="true" showVerticalScroll="true" showSheetTabs="true" xWindow="0" yWindow="0" windowWidth="16384" windowHeight="8192" tabRatio="500" firstSheet="0" activeTab="0"/>
  </bookViews>
  <sheets>
    <sheet name="Cover" sheetId="1" state="visible" r:id="rId3"/>
    <sheet name="Income Tax Act (WDV)" sheetId="2" state="visible" r:id="rId4"/>
    <sheet name="Companies Act — SLM" sheetId="3" state="visible" r:id="rId5"/>
    <sheet name="Companies Act — WDV" sheetId="4" state="visible" r:id="rId6"/>
    <sheet name="Rate Reference" sheetId="5" state="visible" r:id="rId7"/>
  </sheets>
  <definedNames>
    <definedName function="false" hidden="false" name="AssetList" vbProcedure="false">'Rate Reference'!$B$7:$B$24</definedName>
  </definedNames>
  <calcPr iterateCount="100" refMode="A1" iterate="false" iterateDelta="0.0001"/>
  <extLst>
    <ext xmlns:loext="http://schemas.libreoffice.org/" uri="{7626C862-2A13-11E5-B345-FEFF819CDC9F}">
      <loext:extCalcPr stringRefSyntax="ExcelA1"/>
    </ext>
  </extLst>
</workbook>
</file>

<file path=xl/sharedStrings.xml><?xml version="1.0" encoding="utf-8"?>
<sst xmlns="http://schemas.openxmlformats.org/spreadsheetml/2006/main" count="137" uniqueCount="105">
  <si>
    <t xml:space="preserve">CALC GURU  |  calcguru.in</t>
  </si>
  <si>
    <t xml:space="preserve">Depreciation Calculator</t>
  </si>
  <si>
    <t xml:space="preserve">Prepared by CA Tirumalesh Malla  |  https://calcguru.in</t>
  </si>
  <si>
    <t xml:space="preserve">Income Tax Act (WDV) • Companies Act 2013 — SLM &amp; WDV • Asset-class dropdowns</t>
  </si>
  <si>
    <t xml:space="preserve">About this utility</t>
  </si>
  <si>
    <t xml:space="preserve">Calculate depreciation under both the Income Tax Act (block-of-asset, WDV) and the Companies Act, 2013 (useful-life based SLM/WDV using Schedule II). Pick the asset class from the dropdown on any of the three calc sheets — the applicable IT Act rate or Companies Act useful life is auto-populated from the Rate Reference. You can then override the rate / life if the specific block demands it.</t>
  </si>
  <si>
    <t xml:space="preserve">Which method applies when?</t>
  </si>
  <si>
    <t xml:space="preserve">Income Tax Act (Sec 32)</t>
  </si>
  <si>
    <t xml:space="preserve">Block of assets + WDV only. Additional 20% depreciation (Sec 32(1)(iia)) for new plant in manufacturing. Half-rate if put to use for &lt;180 days in the year.</t>
  </si>
  <si>
    <t xml:space="preserve">Companies Act 2013 — Schedule II</t>
  </si>
  <si>
    <t xml:space="preserve">Company may use SLM or WDV. Depreciation brings the asset to residual value (typically 5%) over its useful life. Component accounting required for significant parts.</t>
  </si>
  <si>
    <t xml:space="preserve">Deferred Tax under AS 22 / Ind AS 12</t>
  </si>
  <si>
    <t xml:space="preserve">Books follow Companies Act depreciation; tax follows IT Act WDV. The timing difference creates a Deferred Tax Liability / Asset — reconcile annually.</t>
  </si>
  <si>
    <t xml:space="preserve">Disclaimer</t>
  </si>
  <si>
    <t xml:space="preserve">Indicative model. Adjustments such as half-year convention under IT Act, component accounting, impairment, revaluation, and shift working under Sch II are not mechanised. Refer to Sec 32 (IT Act) and Schedule II (Cos Act) before finalising.</t>
  </si>
  <si>
    <t xml:space="preserve">Calc Guru  |  Prepared by CA Tirumalesh Malla  |  calcguru.in    —    For indicative estimation only. Verify before filing or transacting.</t>
  </si>
  <si>
    <t xml:space="preserve">Depreciation — Income Tax Act, 1961 (Block / WDV)</t>
  </si>
  <si>
    <t xml:space="preserve">Sec 32 • Pick asset class from dropdown — rate auto-populates</t>
  </si>
  <si>
    <t xml:space="preserve">Inputs</t>
  </si>
  <si>
    <t xml:space="preserve">Asset / Block (pick from list)</t>
  </si>
  <si>
    <t xml:space="preserve">Plant &amp; Machinery (general)</t>
  </si>
  <si>
    <t xml:space="preserve">Opening WDV (₹)</t>
  </si>
  <si>
    <t xml:space="preserve">Additions — Used ≥ 180 days (₹)</t>
  </si>
  <si>
    <t xml:space="preserve">Additions — Used &lt; 180 days (₹)</t>
  </si>
  <si>
    <t xml:space="preserve">Deletions / Sale proceeds (₹)</t>
  </si>
  <si>
    <t xml:space="preserve">IT Act Rate — Auto from asset class</t>
  </si>
  <si>
    <t xml:space="preserve">Override Rate (optional, %)</t>
  </si>
  <si>
    <t xml:space="preserve">Effective Rate Applied</t>
  </si>
  <si>
    <t xml:space="preserve">Additional Depreciation u/s 32(1)(iia)? (Yes/No)</t>
  </si>
  <si>
    <t xml:space="preserve">No</t>
  </si>
  <si>
    <t xml:space="preserve">Computation</t>
  </si>
  <si>
    <t xml:space="preserve">Net Block for Depreciation (₹)</t>
  </si>
  <si>
    <t xml:space="preserve">Depreciation on Full-Rate portion (₹)</t>
  </si>
  <si>
    <t xml:space="preserve">Depreciation on Half-Rate portion (₹)</t>
  </si>
  <si>
    <t xml:space="preserve">Additional Depreciation (20% on new plant — half if &lt;180 days)</t>
  </si>
  <si>
    <t xml:space="preserve">Total Depreciation for the year (₹)</t>
  </si>
  <si>
    <t xml:space="preserve">Closing WDV (₹)</t>
  </si>
  <si>
    <t xml:space="preserve">Effective Depreciation %</t>
  </si>
  <si>
    <t xml:space="preserve">15-Year Projection (flat rate, no further additions)</t>
  </si>
  <si>
    <t xml:space="preserve">Year</t>
  </si>
  <si>
    <t xml:space="preserve">Opening WDV</t>
  </si>
  <si>
    <t xml:space="preserve">Depreciation</t>
  </si>
  <si>
    <t xml:space="preserve">Closing WDV</t>
  </si>
  <si>
    <t xml:space="preserve">Depreciation — Companies Act, 2013 (SLM)</t>
  </si>
  <si>
    <t xml:space="preserve">Schedule II • Pick asset class — useful life auto-populates</t>
  </si>
  <si>
    <t xml:space="preserve">Computers &amp; Servers</t>
  </si>
  <si>
    <t xml:space="preserve">Cost (₹)</t>
  </si>
  <si>
    <t xml:space="preserve">Useful Life — Auto from asset class (yrs)</t>
  </si>
  <si>
    <t xml:space="preserve">Override Useful Life (optional, yrs)</t>
  </si>
  <si>
    <t xml:space="preserve">Effective Life Applied</t>
  </si>
  <si>
    <t xml:space="preserve">Residual Value (%)</t>
  </si>
  <si>
    <t xml:space="preserve">Date of Purchase</t>
  </si>
  <si>
    <t xml:space="preserve">Residual Value (₹)</t>
  </si>
  <si>
    <t xml:space="preserve">Depreciable Amount (₹)</t>
  </si>
  <si>
    <t xml:space="preserve">Annual Depreciation — SLM (₹)</t>
  </si>
  <si>
    <t xml:space="preserve">SLM Rate %</t>
  </si>
  <si>
    <t xml:space="preserve">Year-wise Schedule (up to 15 years)</t>
  </si>
  <si>
    <t xml:space="preserve">Opening (₹)</t>
  </si>
  <si>
    <t xml:space="preserve">Depreciation (₹)</t>
  </si>
  <si>
    <t xml:space="preserve">Closing (₹)</t>
  </si>
  <si>
    <t xml:space="preserve">Depreciation — Companies Act, 2013 (WDV)</t>
  </si>
  <si>
    <t xml:space="preserve">Schedule II • Rate derived from useful life</t>
  </si>
  <si>
    <t xml:space="preserve">Furniture &amp; Fittings</t>
  </si>
  <si>
    <t xml:space="preserve">WDV Rate %  = 1 − (RV / Cost)^(1/Life)</t>
  </si>
  <si>
    <t xml:space="preserve">Year 1 Depreciation (₹)</t>
  </si>
  <si>
    <t xml:space="preserve">Year-wise WDV Schedule (up to 15 years)</t>
  </si>
  <si>
    <t xml:space="preserve">Depreciation — Rate Reference (IT Act &amp; Sch II)</t>
  </si>
  <si>
    <t xml:space="preserve">Source data for asset dropdowns on the three calc sheets</t>
  </si>
  <si>
    <t xml:space="preserve">Asset / Block</t>
  </si>
  <si>
    <t xml:space="preserve">IT Act (WDV) %</t>
  </si>
  <si>
    <t xml:space="preserve">Cos Act Life (yrs)</t>
  </si>
  <si>
    <t xml:space="preserve">Notes</t>
  </si>
  <si>
    <t xml:space="preserve">Buildings — Residential</t>
  </si>
  <si>
    <t xml:space="preserve">IT: Sec 32 block; Cos Act: useful life 60 yrs</t>
  </si>
  <si>
    <t xml:space="preserve">Buildings — Non-residential (offices, factories)</t>
  </si>
  <si>
    <t xml:space="preserve">Purely temporary structures: 40% / 3 yrs</t>
  </si>
  <si>
    <t xml:space="preserve">Buildings — Purely temporary structures</t>
  </si>
  <si>
    <t xml:space="preserve">Sheds, tents etc.</t>
  </si>
  <si>
    <t xml:space="preserve">Default P&amp;M rate</t>
  </si>
  <si>
    <t xml:space="preserve">Plant &amp; Machinery — Continuous Process Plant</t>
  </si>
  <si>
    <t xml:space="preserve">Sch II allows longer life</t>
  </si>
  <si>
    <t xml:space="preserve">Motor Cars (not in hiring business)</t>
  </si>
  <si>
    <t xml:space="preserve">Business vehicle</t>
  </si>
  <si>
    <t xml:space="preserve">Motor Buses / Taxis used for hiring</t>
  </si>
  <si>
    <t xml:space="preserve">Commercial vehicles for hire</t>
  </si>
  <si>
    <t xml:space="preserve">Peripherals: 40% / 3 yrs</t>
  </si>
  <si>
    <t xml:space="preserve">Computer Software</t>
  </si>
  <si>
    <t xml:space="preserve">Intangible under Sch II</t>
  </si>
  <si>
    <t xml:space="preserve">Standard furniture</t>
  </si>
  <si>
    <t xml:space="preserve">Office Equipment</t>
  </si>
  <si>
    <t xml:space="preserve">Fax, photocopier, EPABX etc.</t>
  </si>
  <si>
    <t xml:space="preserve">Electrical Installations</t>
  </si>
  <si>
    <t xml:space="preserve">Wiring, switches, etc.</t>
  </si>
  <si>
    <t xml:space="preserve">Books — professional reference (annual)</t>
  </si>
  <si>
    <t xml:space="preserve">Annual publications</t>
  </si>
  <si>
    <t xml:space="preserve">Ships — Ocean-going</t>
  </si>
  <si>
    <t xml:space="preserve">Vessels &gt; 1000 GT</t>
  </si>
  <si>
    <t xml:space="preserve">Aircraft / Aero-engines</t>
  </si>
  <si>
    <t xml:space="preserve">—</t>
  </si>
  <si>
    <t xml:space="preserve">Intangible Assets (patents, copyrights, trademarks)</t>
  </si>
  <si>
    <t xml:space="preserve">Toll-bridge / road: life of agreement</t>
  </si>
  <si>
    <t xml:space="preserve">Pollution Control Equipment</t>
  </si>
  <si>
    <t xml:space="preserve">Higher rate under IT Act</t>
  </si>
  <si>
    <t xml:space="preserve">Energy-saving / Renewable Devices</t>
  </si>
  <si>
    <t xml:space="preserve">Solar, wind, CFL, etc.</t>
  </si>
</sst>
</file>

<file path=xl/styles.xml><?xml version="1.0" encoding="utf-8"?>
<styleSheet xmlns="http://schemas.openxmlformats.org/spreadsheetml/2006/main">
  <numFmts count="12">
    <numFmt numFmtId="164" formatCode="General"/>
    <numFmt numFmtId="165" formatCode="\₹#,##0"/>
    <numFmt numFmtId="166" formatCode="0.0\%"/>
    <numFmt numFmtId="167" formatCode="0.0\%;;\-"/>
    <numFmt numFmtId="168" formatCode="0.00%"/>
    <numFmt numFmtId="169" formatCode="0"/>
    <numFmt numFmtId="170" formatCode="0.0"/>
    <numFmt numFmtId="171" formatCode="0.0;;\-"/>
    <numFmt numFmtId="172" formatCode="0.0&quot; yrs&quot;"/>
    <numFmt numFmtId="173" formatCode="dd\-mmm\-yyyy"/>
    <numFmt numFmtId="174" formatCode="0\%"/>
    <numFmt numFmtId="175" formatCode="0&quot; yrs&quot;"/>
  </numFmts>
  <fonts count="19">
    <font>
      <sz val="11"/>
      <color theme="1"/>
      <name val="Calibri"/>
      <family val="2"/>
      <charset val="1"/>
    </font>
    <font>
      <sz val="10"/>
      <name val="Arial"/>
      <family val="0"/>
    </font>
    <font>
      <sz val="10"/>
      <name val="Arial"/>
      <family val="0"/>
    </font>
    <font>
      <sz val="10"/>
      <name val="Arial"/>
      <family val="0"/>
    </font>
    <font>
      <b val="true"/>
      <sz val="14"/>
      <color rgb="FFFFFFFF"/>
      <name val="Calibri"/>
      <family val="0"/>
      <charset val="1"/>
    </font>
    <font>
      <b val="true"/>
      <sz val="16"/>
      <color rgb="FF1E3A8A"/>
      <name val="Calibri"/>
      <family val="0"/>
      <charset val="1"/>
    </font>
    <font>
      <i val="true"/>
      <sz val="10"/>
      <color rgb="FF64748B"/>
      <name val="Calibri"/>
      <family val="0"/>
      <charset val="1"/>
    </font>
    <font>
      <i val="true"/>
      <sz val="10"/>
      <color rgb="FFF97316"/>
      <name val="Calibri"/>
      <family val="0"/>
      <charset val="1"/>
    </font>
    <font>
      <b val="true"/>
      <sz val="13"/>
      <color rgb="FF1E3A8A"/>
      <name val="Calibri"/>
      <family val="0"/>
      <charset val="1"/>
    </font>
    <font>
      <sz val="11"/>
      <name val="Calibri"/>
      <family val="0"/>
      <charset val="1"/>
    </font>
    <font>
      <b val="true"/>
      <sz val="11"/>
      <color rgb="FFF97316"/>
      <name val="Calibri"/>
      <family val="0"/>
      <charset val="1"/>
    </font>
    <font>
      <sz val="10"/>
      <name val="Calibri"/>
      <family val="0"/>
      <charset val="1"/>
    </font>
    <font>
      <b val="true"/>
      <sz val="12"/>
      <color rgb="FFFFFFFF"/>
      <name val="Calibri"/>
      <family val="0"/>
      <charset val="1"/>
    </font>
    <font>
      <i val="true"/>
      <sz val="9"/>
      <color rgb="FF64748B"/>
      <name val="Calibri"/>
      <family val="0"/>
      <charset val="1"/>
    </font>
    <font>
      <b val="true"/>
      <sz val="11"/>
      <color rgb="FF000000"/>
      <name val="Calibri"/>
      <family val="0"/>
      <charset val="1"/>
    </font>
    <font>
      <b val="true"/>
      <sz val="11"/>
      <color rgb="FF0000FF"/>
      <name val="Calibri"/>
      <family val="0"/>
      <charset val="1"/>
    </font>
    <font>
      <sz val="11"/>
      <color rgb="FF000000"/>
      <name val="Calibri"/>
      <family val="0"/>
      <charset val="1"/>
    </font>
    <font>
      <b val="true"/>
      <sz val="12"/>
      <color rgb="FF1E3A8A"/>
      <name val="Calibri"/>
      <family val="0"/>
      <charset val="1"/>
    </font>
    <font>
      <b val="true"/>
      <sz val="11"/>
      <color rgb="FFFFFFFF"/>
      <name val="Calibri"/>
      <family val="0"/>
      <charset val="1"/>
    </font>
  </fonts>
  <fills count="9">
    <fill>
      <patternFill patternType="none"/>
    </fill>
    <fill>
      <patternFill patternType="gray125"/>
    </fill>
    <fill>
      <patternFill patternType="solid">
        <fgColor rgb="FF1E3A8A"/>
        <bgColor rgb="FF003366"/>
      </patternFill>
    </fill>
    <fill>
      <patternFill patternType="solid">
        <fgColor rgb="FFE0E7FF"/>
        <bgColor rgb="FFE2E8F0"/>
      </patternFill>
    </fill>
    <fill>
      <patternFill patternType="solid">
        <fgColor rgb="FFF97316"/>
        <bgColor rgb="FFFF9900"/>
      </patternFill>
    </fill>
    <fill>
      <patternFill patternType="solid">
        <fgColor rgb="FFE2E8F0"/>
        <bgColor rgb="FFE0E7FF"/>
      </patternFill>
    </fill>
    <fill>
      <patternFill patternType="solid">
        <fgColor rgb="FFFFF4C2"/>
        <bgColor rgb="FFF8FAFC"/>
      </patternFill>
    </fill>
    <fill>
      <patternFill patternType="solid">
        <fgColor rgb="FFF8FAFC"/>
        <bgColor rgb="FFFFFFFF"/>
      </patternFill>
    </fill>
    <fill>
      <patternFill patternType="solid">
        <fgColor rgb="FFDCFCE7"/>
        <bgColor rgb="FFE2E8F0"/>
      </patternFill>
    </fill>
  </fills>
  <borders count="2">
    <border diagonalUp="false" diagonalDown="false">
      <left/>
      <right/>
      <top/>
      <bottom/>
      <diagonal/>
    </border>
    <border diagonalUp="false" diagonalDown="false">
      <left style="thin">
        <color rgb="FFE2E8F0"/>
      </left>
      <right style="thin">
        <color rgb="FFE2E8F0"/>
      </right>
      <top style="thin">
        <color rgb="FFE2E8F0"/>
      </top>
      <bottom style="thin">
        <color rgb="FFE2E8F0"/>
      </bottom>
      <diagonal/>
    </border>
  </borders>
  <cellStyleXfs count="20">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38">
    <xf numFmtId="164" fontId="0" fillId="0" borderId="0" xfId="0" applyFont="false" applyBorder="false" applyAlignment="false" applyProtection="false">
      <alignment horizontal="general" vertical="bottom" textRotation="0" wrapText="false" indent="0" shrinkToFit="false"/>
      <protection locked="true" hidden="false"/>
    </xf>
    <xf numFmtId="164" fontId="4" fillId="2" borderId="0" xfId="0" applyFont="true" applyBorder="true" applyAlignment="true" applyProtection="false">
      <alignment horizontal="center" vertical="center" textRotation="0" wrapText="false" indent="0" shrinkToFit="false"/>
      <protection locked="true" hidden="false"/>
    </xf>
    <xf numFmtId="164" fontId="5" fillId="3" borderId="0" xfId="0" applyFont="true" applyBorder="true" applyAlignment="true" applyProtection="false">
      <alignment horizontal="center" vertical="center" textRotation="0" wrapText="false" indent="0" shrinkToFit="false"/>
      <protection locked="true" hidden="false"/>
    </xf>
    <xf numFmtId="164" fontId="6" fillId="0" borderId="0" xfId="0" applyFont="true" applyBorder="true" applyAlignment="true" applyProtection="false">
      <alignment horizontal="center" vertical="center" textRotation="0" wrapText="false" indent="0" shrinkToFit="false"/>
      <protection locked="true" hidden="false"/>
    </xf>
    <xf numFmtId="164" fontId="7" fillId="0" borderId="0" xfId="0" applyFont="true" applyBorder="true" applyAlignment="true" applyProtection="false">
      <alignment horizontal="center" vertical="center" textRotation="0" wrapText="false" indent="0" shrinkToFit="false"/>
      <protection locked="true" hidden="false"/>
    </xf>
    <xf numFmtId="164" fontId="8" fillId="3" borderId="0" xfId="0" applyFont="true" applyBorder="true" applyAlignment="true" applyProtection="false">
      <alignment horizontal="left" vertical="center" textRotation="0" wrapText="true" indent="0" shrinkToFit="false"/>
      <protection locked="true" hidden="false"/>
    </xf>
    <xf numFmtId="164" fontId="9" fillId="0" borderId="0" xfId="0" applyFont="true" applyBorder="true" applyAlignment="true" applyProtection="false">
      <alignment horizontal="left" vertical="top" textRotation="0" wrapText="true" indent="0" shrinkToFit="false"/>
      <protection locked="true" hidden="false"/>
    </xf>
    <xf numFmtId="164" fontId="10" fillId="0" borderId="0" xfId="0" applyFont="true" applyBorder="true" applyAlignment="true" applyProtection="false">
      <alignment horizontal="left" vertical="center" textRotation="0" wrapText="true" indent="0" shrinkToFit="false"/>
      <protection locked="true" hidden="false"/>
    </xf>
    <xf numFmtId="164" fontId="11" fillId="0" borderId="0" xfId="0" applyFont="true" applyBorder="true" applyAlignment="true" applyProtection="false">
      <alignment horizontal="left" vertical="top" textRotation="0" wrapText="true" indent="0" shrinkToFit="false"/>
      <protection locked="true" hidden="false"/>
    </xf>
    <xf numFmtId="164" fontId="12" fillId="4" borderId="0" xfId="0" applyFont="true" applyBorder="true" applyAlignment="true" applyProtection="false">
      <alignment horizontal="left" vertical="center" textRotation="0" wrapText="false" indent="1" shrinkToFit="false"/>
      <protection locked="true" hidden="false"/>
    </xf>
    <xf numFmtId="164" fontId="6" fillId="0" borderId="0" xfId="0" applyFont="true" applyBorder="true" applyAlignment="true" applyProtection="false">
      <alignment horizontal="left" vertical="top" textRotation="0" wrapText="true" indent="0" shrinkToFit="false"/>
      <protection locked="true" hidden="false"/>
    </xf>
    <xf numFmtId="164" fontId="13" fillId="5" borderId="0" xfId="0" applyFont="true" applyBorder="true" applyAlignment="true" applyProtection="false">
      <alignment horizontal="center" vertical="center" textRotation="0" wrapText="false" indent="0" shrinkToFit="false"/>
      <protection locked="true" hidden="false"/>
    </xf>
    <xf numFmtId="164" fontId="12" fillId="2" borderId="0" xfId="0" applyFont="true" applyBorder="true" applyAlignment="true" applyProtection="false">
      <alignment horizontal="left" vertical="center" textRotation="0" wrapText="false" indent="1" shrinkToFit="false"/>
      <protection locked="true" hidden="false"/>
    </xf>
    <xf numFmtId="164" fontId="14" fillId="0" borderId="1" xfId="0" applyFont="true" applyBorder="true" applyAlignment="true" applyProtection="false">
      <alignment horizontal="left" vertical="center" textRotation="0" wrapText="false" indent="1" shrinkToFit="false"/>
      <protection locked="true" hidden="false"/>
    </xf>
    <xf numFmtId="164" fontId="15" fillId="6" borderId="1" xfId="0" applyFont="true" applyBorder="true" applyAlignment="true" applyProtection="true">
      <alignment horizontal="left" vertical="center" textRotation="0" wrapText="true" indent="0" shrinkToFit="false"/>
      <protection locked="false" hidden="false"/>
    </xf>
    <xf numFmtId="165" fontId="15" fillId="6" borderId="1" xfId="0" applyFont="true" applyBorder="true" applyAlignment="true" applyProtection="true">
      <alignment horizontal="right" vertical="center" textRotation="0" wrapText="false" indent="0" shrinkToFit="false"/>
      <protection locked="false" hidden="false"/>
    </xf>
    <xf numFmtId="166" fontId="16" fillId="7" borderId="1" xfId="0" applyFont="true" applyBorder="true" applyAlignment="true" applyProtection="false">
      <alignment horizontal="right" vertical="center" textRotation="0" wrapText="false" indent="0" shrinkToFit="false"/>
      <protection locked="true" hidden="false"/>
    </xf>
    <xf numFmtId="167" fontId="15" fillId="6" borderId="1" xfId="0" applyFont="true" applyBorder="true" applyAlignment="true" applyProtection="true">
      <alignment horizontal="right" vertical="center" textRotation="0" wrapText="false" indent="0" shrinkToFit="false"/>
      <protection locked="false" hidden="false"/>
    </xf>
    <xf numFmtId="164" fontId="15" fillId="6" borderId="1" xfId="0" applyFont="true" applyBorder="true" applyAlignment="true" applyProtection="true">
      <alignment horizontal="center" vertical="center" textRotation="0" wrapText="false" indent="0" shrinkToFit="false"/>
      <protection locked="false" hidden="false"/>
    </xf>
    <xf numFmtId="165" fontId="16" fillId="7" borderId="1" xfId="0" applyFont="true" applyBorder="true" applyAlignment="true" applyProtection="false">
      <alignment horizontal="right" vertical="center" textRotation="0" wrapText="false" indent="0" shrinkToFit="false"/>
      <protection locked="true" hidden="false"/>
    </xf>
    <xf numFmtId="165" fontId="17" fillId="8" borderId="1" xfId="0" applyFont="true" applyBorder="true" applyAlignment="true" applyProtection="false">
      <alignment horizontal="right" vertical="center" textRotation="0" wrapText="false" indent="0" shrinkToFit="false"/>
      <protection locked="true" hidden="false"/>
    </xf>
    <xf numFmtId="168" fontId="16" fillId="7" borderId="1" xfId="0" applyFont="true" applyBorder="true" applyAlignment="true" applyProtection="false">
      <alignment horizontal="right" vertical="center" textRotation="0" wrapText="false" indent="0" shrinkToFit="false"/>
      <protection locked="true" hidden="false"/>
    </xf>
    <xf numFmtId="164" fontId="18" fillId="2" borderId="1" xfId="0" applyFont="true" applyBorder="true" applyAlignment="true" applyProtection="false">
      <alignment horizontal="center" vertical="center" textRotation="0" wrapText="true" indent="0" shrinkToFit="false"/>
      <protection locked="true" hidden="false"/>
    </xf>
    <xf numFmtId="169" fontId="11" fillId="7" borderId="1" xfId="0" applyFont="true" applyBorder="true" applyAlignment="true" applyProtection="false">
      <alignment horizontal="center" vertical="center" textRotation="0" wrapText="false" indent="0" shrinkToFit="false"/>
      <protection locked="true" hidden="false"/>
    </xf>
    <xf numFmtId="165" fontId="11" fillId="7" borderId="1" xfId="0" applyFont="true" applyBorder="true" applyAlignment="true" applyProtection="false">
      <alignment horizontal="right" vertical="center" textRotation="0" wrapText="false" indent="0" shrinkToFit="false"/>
      <protection locked="true" hidden="false"/>
    </xf>
    <xf numFmtId="169" fontId="11" fillId="0" borderId="1" xfId="0" applyFont="true" applyBorder="true" applyAlignment="true" applyProtection="false">
      <alignment horizontal="center" vertical="center" textRotation="0" wrapText="false" indent="0" shrinkToFit="false"/>
      <protection locked="true" hidden="false"/>
    </xf>
    <xf numFmtId="165" fontId="11" fillId="0" borderId="1" xfId="0" applyFont="true" applyBorder="true" applyAlignment="true" applyProtection="false">
      <alignment horizontal="right" vertical="center" textRotation="0" wrapText="false" indent="0" shrinkToFit="false"/>
      <protection locked="true" hidden="false"/>
    </xf>
    <xf numFmtId="170" fontId="16" fillId="7" borderId="1" xfId="0" applyFont="true" applyBorder="true" applyAlignment="true" applyProtection="false">
      <alignment horizontal="right" vertical="center" textRotation="0" wrapText="false" indent="0" shrinkToFit="false"/>
      <protection locked="true" hidden="false"/>
    </xf>
    <xf numFmtId="171" fontId="15" fillId="6" borderId="1" xfId="0" applyFont="true" applyBorder="true" applyAlignment="true" applyProtection="true">
      <alignment horizontal="right" vertical="center" textRotation="0" wrapText="false" indent="0" shrinkToFit="false"/>
      <protection locked="false" hidden="false"/>
    </xf>
    <xf numFmtId="172" fontId="16" fillId="7" borderId="1" xfId="0" applyFont="true" applyBorder="true" applyAlignment="true" applyProtection="false">
      <alignment horizontal="right" vertical="center" textRotation="0" wrapText="false" indent="0" shrinkToFit="false"/>
      <protection locked="true" hidden="false"/>
    </xf>
    <xf numFmtId="166" fontId="15" fillId="6" borderId="1" xfId="0" applyFont="true" applyBorder="true" applyAlignment="true" applyProtection="true">
      <alignment horizontal="right" vertical="center" textRotation="0" wrapText="false" indent="0" shrinkToFit="false"/>
      <protection locked="false" hidden="false"/>
    </xf>
    <xf numFmtId="173" fontId="15" fillId="6" borderId="1" xfId="0" applyFont="true" applyBorder="true" applyAlignment="true" applyProtection="true">
      <alignment horizontal="right" vertical="center" textRotation="0" wrapText="false" indent="0" shrinkToFit="false"/>
      <protection locked="false" hidden="false"/>
    </xf>
    <xf numFmtId="164" fontId="11" fillId="7" borderId="1" xfId="0" applyFont="true" applyBorder="true" applyAlignment="true" applyProtection="false">
      <alignment horizontal="left" vertical="center" textRotation="0" wrapText="true" indent="1" shrinkToFit="false"/>
      <protection locked="true" hidden="false"/>
    </xf>
    <xf numFmtId="174" fontId="11" fillId="7" borderId="1" xfId="0" applyFont="true" applyBorder="true" applyAlignment="true" applyProtection="false">
      <alignment horizontal="center" vertical="center" textRotation="0" wrapText="true" indent="0" shrinkToFit="false"/>
      <protection locked="true" hidden="false"/>
    </xf>
    <xf numFmtId="175" fontId="11" fillId="7" borderId="1" xfId="0" applyFont="true" applyBorder="true" applyAlignment="true" applyProtection="false">
      <alignment horizontal="center" vertical="center" textRotation="0" wrapText="true" indent="0" shrinkToFit="false"/>
      <protection locked="true" hidden="false"/>
    </xf>
    <xf numFmtId="164" fontId="11" fillId="0" borderId="1" xfId="0" applyFont="true" applyBorder="true" applyAlignment="true" applyProtection="false">
      <alignment horizontal="left" vertical="center" textRotation="0" wrapText="true" indent="1" shrinkToFit="false"/>
      <protection locked="true" hidden="false"/>
    </xf>
    <xf numFmtId="174" fontId="11" fillId="0" borderId="1" xfId="0" applyFont="true" applyBorder="true" applyAlignment="true" applyProtection="false">
      <alignment horizontal="center" vertical="center" textRotation="0" wrapText="true" indent="0" shrinkToFit="false"/>
      <protection locked="true" hidden="false"/>
    </xf>
    <xf numFmtId="175" fontId="11" fillId="0" borderId="1" xfId="0" applyFont="true" applyBorder="true" applyAlignment="true" applyProtection="false">
      <alignment horizontal="center" vertical="center" textRotation="0" wrapText="true" indent="0" shrinkToFit="false"/>
      <protection locked="true" hidden="false"/>
    </xf>
  </cellXfs>
  <cellStyles count="6">
    <cellStyle name="Normal" xfId="0" builtinId="0"/>
    <cellStyle name="Comma" xfId="15" builtinId="3"/>
    <cellStyle name="Comma [0]" xfId="16" builtinId="6"/>
    <cellStyle name="Currency" xfId="17" builtinId="4"/>
    <cellStyle name="Currency [0]" xfId="18" builtinId="7"/>
    <cellStyle name="Percent" xfId="19" builtinId="5"/>
  </cellStyles>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FFF4C2"/>
      <rgbColor rgb="FFDCFCE7"/>
      <rgbColor rgb="FF660066"/>
      <rgbColor rgb="FFFF8080"/>
      <rgbColor rgb="FF0066CC"/>
      <rgbColor rgb="FFCCCCFF"/>
      <rgbColor rgb="FF000080"/>
      <rgbColor rgb="FFFF00FF"/>
      <rgbColor rgb="FFFFFF00"/>
      <rgbColor rgb="FF00FFFF"/>
      <rgbColor rgb="FF800080"/>
      <rgbColor rgb="FF800000"/>
      <rgbColor rgb="FF008080"/>
      <rgbColor rgb="FF0000FF"/>
      <rgbColor rgb="FF00CCFF"/>
      <rgbColor rgb="FFE0E7FF"/>
      <rgbColor rgb="FFE2E8F0"/>
      <rgbColor rgb="FFF8FAFC"/>
      <rgbColor rgb="FF99CCFF"/>
      <rgbColor rgb="FFFF99CC"/>
      <rgbColor rgb="FFCC99FF"/>
      <rgbColor rgb="FFFFCC99"/>
      <rgbColor rgb="FF3366FF"/>
      <rgbColor rgb="FF33CCCC"/>
      <rgbColor rgb="FF99CC00"/>
      <rgbColor rgb="FFFFCC00"/>
      <rgbColor rgb="FFFF9900"/>
      <rgbColor rgb="FFF97316"/>
      <rgbColor rgb="FF64748B"/>
      <rgbColor rgb="FF969696"/>
      <rgbColor rgb="FF003366"/>
      <rgbColor rgb="FF339966"/>
      <rgbColor rgb="FF003300"/>
      <rgbColor rgb="FF333300"/>
      <rgbColor rgb="FF993300"/>
      <rgbColor rgb="FF993366"/>
      <rgbColor rgb="FF1E3A8A"/>
      <rgbColor rgb="FF333333"/>
    </indexedColors>
  </colors>
</styleSheet>
</file>

<file path=xl/_rels/workbook.xml.rels><?xml version="1.0" encoding="UTF-8"?>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worksheet" Target="worksheets/sheet1.xml"/><Relationship Id="rId4" Type="http://schemas.openxmlformats.org/officeDocument/2006/relationships/worksheet" Target="worksheets/sheet2.xml"/><Relationship Id="rId5" Type="http://schemas.openxmlformats.org/officeDocument/2006/relationships/worksheet" Target="worksheets/sheet3.xml"/><Relationship Id="rId6" Type="http://schemas.openxmlformats.org/officeDocument/2006/relationships/worksheet" Target="worksheets/sheet4.xml"/><Relationship Id="rId7" Type="http://schemas.openxmlformats.org/officeDocument/2006/relationships/worksheet" Target="worksheets/sheet5.xml"/><Relationship Id="rId8" Type="http://schemas.openxmlformats.org/officeDocument/2006/relationships/sharedStrings" Target="sharedStrings.xml"/>
</Relationships>
</file>

<file path=xl/theme/theme1.xml><?xml version="1.0" encoding="utf-8"?>
<a:theme xmlns:a="http://schemas.openxmlformats.org/drawingml/2006/main" xmlns:r="http://schemas.openxmlformats.org/officeDocument/2006/relationships" name="Office Theme">
  <a:themeElements>
    <a:clrScheme name="Office">
      <a:dk1>
        <a:srgbClr val="000000"/>
      </a:dk1>
      <a:lt1>
        <a:srgbClr val="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itchFamily="0" charset="1"/>
        <a:ea typeface=""/>
        <a:cs typeface=""/>
      </a:majorFont>
      <a:minorFont>
        <a:latin typeface="Calibri" pitchFamily="0" charset="1"/>
        <a:ea typeface=""/>
        <a:cs typeface=""/>
      </a:minorFont>
    </a:fontScheme>
    <a:fmtScheme>
      <a:fillStyleLst>
        <a:solidFill>
          <a:schemeClr val="phClr"/>
        </a:solidFill>
        <a:gradFill>
          <a:gsLst>
            <a:gs pos="0">
              <a:schemeClr val="phClr">
                <a:tint val="50000"/>
              </a:schemeClr>
            </a:gs>
            <a:gs pos="35000">
              <a:schemeClr val="phClr">
                <a:tint val="37000"/>
              </a:schemeClr>
            </a:gs>
            <a:gs pos="100000">
              <a:schemeClr val="phClr">
                <a:tint val="15000"/>
              </a:schemeClr>
            </a:gs>
          </a:gsLst>
          <a:lin ang="16200000" scaled="1"/>
          <a:tileRect l="0" t="0" r="0" b="0"/>
        </a:gradFill>
        <a:gradFill>
          <a:gsLst>
            <a:gs pos="0">
              <a:schemeClr val="phClr">
                <a:shade val="51000"/>
              </a:schemeClr>
            </a:gs>
            <a:gs pos="80000">
              <a:schemeClr val="phClr">
                <a:shade val="93000"/>
              </a:schemeClr>
            </a:gs>
            <a:gs pos="100000">
              <a:schemeClr val="phClr">
                <a:shade val="94000"/>
              </a:schemeClr>
            </a:gs>
          </a:gsLst>
          <a:lin ang="16200000" scaled="0"/>
          <a:tileRect l="0" t="0" r="0" b="0"/>
        </a:gradFill>
      </a:fillStyleLst>
      <a:lnStyleLst>
        <a:ln w="9525" cap="flat" cmpd="sng" algn="ctr">
          <a:prstDash val="solid"/>
        </a:ln>
        <a:ln w="25400" cap="flat" cmpd="sng" algn="ctr">
          <a:prstDash val="solid"/>
        </a:ln>
        <a:ln w="38100" cap="flat" cmpd="sng" algn="ctr">
          <a:prstDash val="solid"/>
        </a:ln>
      </a:lnStyleLst>
      <a:effectStyleLst>
        <a:effectStyle>
          <a:effectLst/>
        </a:effectStyle>
        <a:effectStyle>
          <a:effectLst/>
        </a:effectStyle>
        <a:effectStyle>
          <a:effectLst/>
        </a:effectStyle>
      </a:effectStyleLst>
      <a:bgFillStyleLst>
        <a:solidFill>
          <a:schemeClr val="phClr"/>
        </a:solidFill>
        <a:gradFill>
          <a:gsLst>
            <a:gs pos="0">
              <a:schemeClr val="phClr">
                <a:tint val="40000"/>
              </a:schemeClr>
            </a:gs>
            <a:gs pos="40000">
              <a:schemeClr val="phClr">
                <a:tint val="45000"/>
                <a:shade val="99000"/>
              </a:schemeClr>
            </a:gs>
            <a:gs pos="100000">
              <a:schemeClr val="phClr">
                <a:shade val="20000"/>
              </a:schemeClr>
            </a:gs>
          </a:gsLst>
          <a:path path="circle">
            <a:fillToRect l="50000" t="-80000" r="50000" b="180000"/>
          </a:path>
          <a:tileRect l="0" t="0" r="0" b="0"/>
        </a:gradFill>
        <a:gradFill>
          <a:gsLst>
            <a:gs pos="0">
              <a:schemeClr val="phClr">
                <a:tint val="80000"/>
              </a:schemeClr>
            </a:gs>
            <a:gs pos="100000">
              <a:schemeClr val="phClr">
                <a:shade val="30000"/>
              </a:schemeClr>
            </a:gs>
          </a:gsLst>
          <a:path path="circle">
            <a:fillToRect l="50000" t="50000" r="50000" b="50000"/>
          </a:path>
          <a:tileRect l="0" t="0" r="0" b="0"/>
        </a:gradFill>
      </a:bgFillStyleLst>
    </a:fmtScheme>
  </a:themeElemen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H32"/>
  <sheetViews>
    <sheetView showFormulas="false" showGridLines="true" showRowColHeaders="true" showZeros="true" rightToLeft="false" tabSelected="true" showOutlineSymbols="true" defaultGridColor="true" view="normal" topLeftCell="A1" colorId="64" zoomScale="100" zoomScaleNormal="100" zoomScalePageLayoutView="100" workbookViewId="0">
      <selection pane="topLeft" activeCell="A1" activeCellId="0" sqref="A1"/>
    </sheetView>
  </sheetViews>
  <sheetFormatPr defaultColWidth="8.6796875" defaultRowHeight="15" customHeight="false" zeroHeight="false" outlineLevelRow="0" outlineLevelCol="0"/>
  <cols>
    <col collapsed="false" customWidth="true" hidden="false" outlineLevel="0" max="1" min="1" style="0" width="5"/>
    <col collapsed="false" customWidth="true" hidden="false" outlineLevel="0" max="6" min="2" style="0" width="28"/>
    <col collapsed="false" customWidth="true" hidden="false" outlineLevel="0" max="7" min="7" style="0" width="5"/>
  </cols>
  <sheetData>
    <row r="1" customFormat="false" ht="25.5" hidden="false" customHeight="true" outlineLevel="0" collapsed="false">
      <c r="A1" s="1" t="s">
        <v>0</v>
      </c>
      <c r="B1" s="1"/>
      <c r="C1" s="1"/>
      <c r="D1" s="1"/>
      <c r="E1" s="1"/>
      <c r="F1" s="1"/>
      <c r="G1" s="1"/>
      <c r="H1" s="1"/>
    </row>
    <row r="2" customFormat="false" ht="24" hidden="false" customHeight="true" outlineLevel="0" collapsed="false">
      <c r="A2" s="2" t="s">
        <v>1</v>
      </c>
      <c r="B2" s="2"/>
      <c r="C2" s="2"/>
      <c r="D2" s="2"/>
      <c r="E2" s="2"/>
      <c r="F2" s="2"/>
      <c r="G2" s="2"/>
      <c r="H2" s="2"/>
    </row>
    <row r="3" customFormat="false" ht="18" hidden="false" customHeight="true" outlineLevel="0" collapsed="false">
      <c r="A3" s="3" t="s">
        <v>2</v>
      </c>
      <c r="B3" s="3"/>
      <c r="C3" s="3"/>
      <c r="D3" s="3"/>
      <c r="E3" s="3"/>
      <c r="F3" s="3"/>
      <c r="G3" s="3"/>
      <c r="H3" s="3"/>
    </row>
    <row r="4" customFormat="false" ht="15.75" hidden="false" customHeight="true" outlineLevel="0" collapsed="false">
      <c r="A4" s="4" t="s">
        <v>3</v>
      </c>
      <c r="B4" s="4"/>
      <c r="C4" s="4"/>
      <c r="D4" s="4"/>
      <c r="E4" s="4"/>
      <c r="F4" s="4"/>
      <c r="G4" s="4"/>
      <c r="H4" s="4"/>
    </row>
    <row r="6" customFormat="false" ht="16.15" hidden="false" customHeight="true" outlineLevel="0" collapsed="false">
      <c r="B6" s="5" t="s">
        <v>4</v>
      </c>
      <c r="C6" s="5"/>
      <c r="D6" s="5"/>
      <c r="E6" s="5"/>
      <c r="F6" s="5"/>
    </row>
    <row r="7" customFormat="false" ht="15" hidden="false" customHeight="true" outlineLevel="0" collapsed="false">
      <c r="B7" s="6" t="s">
        <v>5</v>
      </c>
      <c r="C7" s="6"/>
      <c r="D7" s="6"/>
      <c r="E7" s="6"/>
      <c r="F7" s="6"/>
    </row>
    <row r="8" customFormat="false" ht="15" hidden="false" customHeight="false" outlineLevel="0" collapsed="false">
      <c r="B8" s="6"/>
      <c r="C8" s="6"/>
      <c r="D8" s="6"/>
      <c r="E8" s="6"/>
      <c r="F8" s="6"/>
    </row>
    <row r="9" customFormat="false" ht="15" hidden="false" customHeight="false" outlineLevel="0" collapsed="false">
      <c r="B9" s="6"/>
      <c r="C9" s="6"/>
      <c r="D9" s="6"/>
      <c r="E9" s="6"/>
      <c r="F9" s="6"/>
    </row>
    <row r="10" customFormat="false" ht="15" hidden="false" customHeight="false" outlineLevel="0" collapsed="false">
      <c r="B10" s="6"/>
      <c r="C10" s="6"/>
      <c r="D10" s="6"/>
      <c r="E10" s="6"/>
      <c r="F10" s="6"/>
    </row>
    <row r="11" customFormat="false" ht="15" hidden="false" customHeight="false" outlineLevel="0" collapsed="false">
      <c r="B11" s="6"/>
      <c r="C11" s="6"/>
      <c r="D11" s="6"/>
      <c r="E11" s="6"/>
      <c r="F11" s="6"/>
    </row>
    <row r="13" customFormat="false" ht="16.15" hidden="false" customHeight="true" outlineLevel="0" collapsed="false">
      <c r="B13" s="5" t="s">
        <v>6</v>
      </c>
      <c r="C13" s="5"/>
      <c r="D13" s="5"/>
      <c r="E13" s="5"/>
      <c r="F13" s="5"/>
    </row>
    <row r="14" customFormat="false" ht="15" hidden="false" customHeight="true" outlineLevel="0" collapsed="false">
      <c r="B14" s="7" t="s">
        <v>7</v>
      </c>
      <c r="C14" s="7"/>
      <c r="D14" s="7"/>
      <c r="E14" s="7"/>
      <c r="F14" s="7"/>
    </row>
    <row r="15" customFormat="false" ht="15" hidden="false" customHeight="true" outlineLevel="0" collapsed="false">
      <c r="B15" s="8" t="s">
        <v>8</v>
      </c>
      <c r="C15" s="8"/>
      <c r="D15" s="8"/>
      <c r="E15" s="8"/>
      <c r="F15" s="8"/>
    </row>
    <row r="16" customFormat="false" ht="15" hidden="false" customHeight="false" outlineLevel="0" collapsed="false">
      <c r="B16" s="8"/>
      <c r="C16" s="8"/>
      <c r="D16" s="8"/>
      <c r="E16" s="8"/>
      <c r="F16" s="8"/>
    </row>
    <row r="18" customFormat="false" ht="15" hidden="false" customHeight="true" outlineLevel="0" collapsed="false">
      <c r="B18" s="7" t="s">
        <v>9</v>
      </c>
      <c r="C18" s="7"/>
      <c r="D18" s="7"/>
      <c r="E18" s="7"/>
      <c r="F18" s="7"/>
    </row>
    <row r="19" customFormat="false" ht="15" hidden="false" customHeight="true" outlineLevel="0" collapsed="false">
      <c r="B19" s="8" t="s">
        <v>10</v>
      </c>
      <c r="C19" s="8"/>
      <c r="D19" s="8"/>
      <c r="E19" s="8"/>
      <c r="F19" s="8"/>
    </row>
    <row r="20" customFormat="false" ht="15" hidden="false" customHeight="false" outlineLevel="0" collapsed="false">
      <c r="B20" s="8"/>
      <c r="C20" s="8"/>
      <c r="D20" s="8"/>
      <c r="E20" s="8"/>
      <c r="F20" s="8"/>
    </row>
    <row r="22" customFormat="false" ht="15" hidden="false" customHeight="true" outlineLevel="0" collapsed="false">
      <c r="B22" s="7" t="s">
        <v>11</v>
      </c>
      <c r="C22" s="7"/>
      <c r="D22" s="7"/>
      <c r="E22" s="7"/>
      <c r="F22" s="7"/>
    </row>
    <row r="23" customFormat="false" ht="15" hidden="false" customHeight="true" outlineLevel="0" collapsed="false">
      <c r="B23" s="8" t="s">
        <v>12</v>
      </c>
      <c r="C23" s="8"/>
      <c r="D23" s="8"/>
      <c r="E23" s="8"/>
      <c r="F23" s="8"/>
    </row>
    <row r="24" customFormat="false" ht="15" hidden="false" customHeight="false" outlineLevel="0" collapsed="false">
      <c r="B24" s="8"/>
      <c r="C24" s="8"/>
      <c r="D24" s="8"/>
      <c r="E24" s="8"/>
      <c r="F24" s="8"/>
    </row>
    <row r="26" customFormat="false" ht="21.75" hidden="false" customHeight="true" outlineLevel="0" collapsed="false">
      <c r="A26" s="9" t="s">
        <v>13</v>
      </c>
      <c r="B26" s="9"/>
      <c r="C26" s="9"/>
      <c r="D26" s="9"/>
      <c r="E26" s="9"/>
      <c r="F26" s="9"/>
    </row>
    <row r="27" customFormat="false" ht="15" hidden="false" customHeight="true" outlineLevel="0" collapsed="false">
      <c r="B27" s="10" t="s">
        <v>14</v>
      </c>
      <c r="C27" s="10"/>
      <c r="D27" s="10"/>
      <c r="E27" s="10"/>
      <c r="F27" s="10"/>
    </row>
    <row r="28" customFormat="false" ht="15" hidden="false" customHeight="false" outlineLevel="0" collapsed="false">
      <c r="B28" s="10"/>
      <c r="C28" s="10"/>
      <c r="D28" s="10"/>
      <c r="E28" s="10"/>
      <c r="F28" s="10"/>
    </row>
    <row r="29" customFormat="false" ht="15" hidden="false" customHeight="false" outlineLevel="0" collapsed="false">
      <c r="B29" s="10"/>
      <c r="C29" s="10"/>
      <c r="D29" s="10"/>
      <c r="E29" s="10"/>
      <c r="F29" s="10"/>
    </row>
    <row r="32" customFormat="false" ht="18" hidden="false" customHeight="true" outlineLevel="0" collapsed="false">
      <c r="A32" s="11" t="s">
        <v>15</v>
      </c>
      <c r="B32" s="11"/>
      <c r="C32" s="11"/>
      <c r="D32" s="11"/>
      <c r="E32" s="11"/>
      <c r="F32" s="11"/>
    </row>
  </sheetData>
  <sheetProtection sheet="true" password="bbbc" objects="true" scenarios="true"/>
  <mergeCells count="16">
    <mergeCell ref="A1:H1"/>
    <mergeCell ref="A2:H2"/>
    <mergeCell ref="A3:H3"/>
    <mergeCell ref="A4:H4"/>
    <mergeCell ref="B6:F6"/>
    <mergeCell ref="B7:F11"/>
    <mergeCell ref="B13:F13"/>
    <mergeCell ref="B14:F14"/>
    <mergeCell ref="B15:F16"/>
    <mergeCell ref="B18:F18"/>
    <mergeCell ref="B19:F20"/>
    <mergeCell ref="B22:F22"/>
    <mergeCell ref="B23:F24"/>
    <mergeCell ref="A26:F26"/>
    <mergeCell ref="B27:F29"/>
    <mergeCell ref="A32:F32"/>
  </mergeCells>
  <printOptions headings="false" gridLines="false" gridLinesSet="true" horizontalCentered="false" verticalCentered="false"/>
  <pageMargins left="0.75" right="0.75" top="1" bottom="1"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H44"/>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8.6796875" defaultRowHeight="15" customHeight="false" zeroHeight="false" outlineLevelRow="0" outlineLevelCol="0"/>
  <cols>
    <col collapsed="false" customWidth="true" hidden="false" outlineLevel="0" max="1" min="1" style="0" width="4"/>
    <col collapsed="false" customWidth="true" hidden="false" outlineLevel="0" max="2" min="2" style="0" width="36"/>
    <col collapsed="false" customWidth="true" hidden="false" outlineLevel="0" max="3" min="3" style="0" width="26"/>
    <col collapsed="false" customWidth="true" hidden="false" outlineLevel="0" max="4" min="4" style="0" width="4"/>
    <col collapsed="false" customWidth="true" hidden="false" outlineLevel="0" max="5" min="5" style="0" width="8"/>
    <col collapsed="false" customWidth="true" hidden="false" outlineLevel="0" max="8" min="6" style="0" width="18"/>
  </cols>
  <sheetData>
    <row r="1" customFormat="false" ht="25.5" hidden="false" customHeight="true" outlineLevel="0" collapsed="false">
      <c r="A1" s="1" t="s">
        <v>0</v>
      </c>
      <c r="B1" s="1"/>
      <c r="C1" s="1"/>
      <c r="D1" s="1"/>
      <c r="E1" s="1"/>
      <c r="F1" s="1"/>
      <c r="G1" s="1"/>
      <c r="H1" s="1"/>
    </row>
    <row r="2" customFormat="false" ht="24" hidden="false" customHeight="true" outlineLevel="0" collapsed="false">
      <c r="A2" s="2" t="s">
        <v>16</v>
      </c>
      <c r="B2" s="2"/>
      <c r="C2" s="2"/>
      <c r="D2" s="2"/>
      <c r="E2" s="2"/>
      <c r="F2" s="2"/>
      <c r="G2" s="2"/>
      <c r="H2" s="2"/>
    </row>
    <row r="3" customFormat="false" ht="18" hidden="false" customHeight="true" outlineLevel="0" collapsed="false">
      <c r="A3" s="3" t="s">
        <v>2</v>
      </c>
      <c r="B3" s="3"/>
      <c r="C3" s="3"/>
      <c r="D3" s="3"/>
      <c r="E3" s="3"/>
      <c r="F3" s="3"/>
      <c r="G3" s="3"/>
      <c r="H3" s="3"/>
    </row>
    <row r="4" customFormat="false" ht="15.75" hidden="false" customHeight="true" outlineLevel="0" collapsed="false">
      <c r="A4" s="4" t="s">
        <v>17</v>
      </c>
      <c r="B4" s="4"/>
      <c r="C4" s="4"/>
      <c r="D4" s="4"/>
      <c r="E4" s="4"/>
      <c r="F4" s="4"/>
      <c r="G4" s="4"/>
      <c r="H4" s="4"/>
    </row>
    <row r="6" customFormat="false" ht="21.75" hidden="false" customHeight="true" outlineLevel="0" collapsed="false">
      <c r="A6" s="12" t="s">
        <v>18</v>
      </c>
      <c r="B6" s="12"/>
      <c r="C6" s="12"/>
      <c r="D6" s="12"/>
      <c r="E6" s="12"/>
      <c r="F6" s="12"/>
      <c r="G6" s="12"/>
      <c r="H6" s="12"/>
    </row>
    <row r="7" customFormat="false" ht="15" hidden="false" customHeight="false" outlineLevel="0" collapsed="false">
      <c r="B7" s="13" t="s">
        <v>19</v>
      </c>
      <c r="C7" s="14" t="s">
        <v>20</v>
      </c>
    </row>
    <row r="8" customFormat="false" ht="15" hidden="false" customHeight="false" outlineLevel="0" collapsed="false">
      <c r="B8" s="13" t="s">
        <v>21</v>
      </c>
      <c r="C8" s="15" t="n">
        <v>1000000</v>
      </c>
    </row>
    <row r="9" customFormat="false" ht="15" hidden="false" customHeight="false" outlineLevel="0" collapsed="false">
      <c r="B9" s="13" t="s">
        <v>22</v>
      </c>
      <c r="C9" s="15" t="n">
        <v>200000</v>
      </c>
    </row>
    <row r="10" customFormat="false" ht="15" hidden="false" customHeight="false" outlineLevel="0" collapsed="false">
      <c r="B10" s="13" t="s">
        <v>23</v>
      </c>
      <c r="C10" s="15" t="n">
        <v>100000</v>
      </c>
    </row>
    <row r="11" customFormat="false" ht="15" hidden="false" customHeight="false" outlineLevel="0" collapsed="false">
      <c r="B11" s="13" t="s">
        <v>24</v>
      </c>
      <c r="C11" s="15" t="n">
        <v>50000</v>
      </c>
    </row>
    <row r="12" customFormat="false" ht="15" hidden="false" customHeight="false" outlineLevel="0" collapsed="false">
      <c r="B12" s="13" t="s">
        <v>25</v>
      </c>
      <c r="C12" s="16" t="n">
        <f aca="false">IFERROR(VLOOKUP(C7,'Rate Reference'!$B$7:$E$24,2,FALSE()),0)</f>
        <v>15</v>
      </c>
    </row>
    <row r="13" customFormat="false" ht="15" hidden="false" customHeight="false" outlineLevel="0" collapsed="false">
      <c r="B13" s="13" t="s">
        <v>26</v>
      </c>
      <c r="C13" s="17" t="n">
        <v>0</v>
      </c>
    </row>
    <row r="14" customFormat="false" ht="15" hidden="false" customHeight="false" outlineLevel="0" collapsed="false">
      <c r="B14" s="13" t="s">
        <v>27</v>
      </c>
      <c r="C14" s="16" t="n">
        <f aca="false">IF(C13&gt;0,C13,C12)</f>
        <v>15</v>
      </c>
    </row>
    <row r="15" customFormat="false" ht="15" hidden="false" customHeight="false" outlineLevel="0" collapsed="false">
      <c r="B15" s="13" t="s">
        <v>28</v>
      </c>
      <c r="C15" s="18" t="s">
        <v>29</v>
      </c>
    </row>
    <row r="17" customFormat="false" ht="21.75" hidden="false" customHeight="true" outlineLevel="0" collapsed="false">
      <c r="A17" s="12" t="s">
        <v>30</v>
      </c>
      <c r="B17" s="12"/>
      <c r="C17" s="12"/>
      <c r="D17" s="12"/>
      <c r="E17" s="12"/>
      <c r="F17" s="12"/>
      <c r="G17" s="12"/>
      <c r="H17" s="12"/>
    </row>
    <row r="18" customFormat="false" ht="15" hidden="false" customHeight="false" outlineLevel="0" collapsed="false">
      <c r="B18" s="13" t="s">
        <v>31</v>
      </c>
      <c r="C18" s="19" t="n">
        <f aca="false">C8+C9+C10-C11</f>
        <v>1250000</v>
      </c>
    </row>
    <row r="19" customFormat="false" ht="15" hidden="false" customHeight="false" outlineLevel="0" collapsed="false">
      <c r="B19" s="13" t="s">
        <v>32</v>
      </c>
      <c r="C19" s="19" t="n">
        <f aca="false">MAX(0,(C8+C9-C11))*C14/100</f>
        <v>172500</v>
      </c>
    </row>
    <row r="20" customFormat="false" ht="15" hidden="false" customHeight="false" outlineLevel="0" collapsed="false">
      <c r="B20" s="13" t="s">
        <v>33</v>
      </c>
      <c r="C20" s="19" t="n">
        <f aca="false">C10*C14/100/2</f>
        <v>7500</v>
      </c>
    </row>
    <row r="21" customFormat="false" ht="15" hidden="false" customHeight="false" outlineLevel="0" collapsed="false">
      <c r="B21" s="13" t="s">
        <v>34</v>
      </c>
      <c r="C21" s="19" t="n">
        <f aca="false">IF(UPPER(C15)="YES",C9*20%+C10*10%,0)</f>
        <v>0</v>
      </c>
    </row>
    <row r="22" customFormat="false" ht="15" hidden="false" customHeight="false" outlineLevel="0" collapsed="false">
      <c r="B22" s="13" t="s">
        <v>35</v>
      </c>
      <c r="C22" s="20" t="n">
        <f aca="false">C19+C20+C21</f>
        <v>180000</v>
      </c>
    </row>
    <row r="23" customFormat="false" ht="15" hidden="false" customHeight="false" outlineLevel="0" collapsed="false">
      <c r="B23" s="13" t="s">
        <v>36</v>
      </c>
      <c r="C23" s="20" t="n">
        <f aca="false">C18-C22</f>
        <v>1070000</v>
      </c>
    </row>
    <row r="24" customFormat="false" ht="15" hidden="false" customHeight="false" outlineLevel="0" collapsed="false">
      <c r="B24" s="13" t="s">
        <v>37</v>
      </c>
      <c r="C24" s="21" t="n">
        <f aca="false">IFERROR(C22/C18,0)</f>
        <v>0.144</v>
      </c>
    </row>
    <row r="26" customFormat="false" ht="21.75" hidden="false" customHeight="true" outlineLevel="0" collapsed="false">
      <c r="A26" s="12" t="s">
        <v>38</v>
      </c>
      <c r="B26" s="12"/>
      <c r="C26" s="12"/>
      <c r="D26" s="12"/>
      <c r="E26" s="12"/>
      <c r="F26" s="12"/>
      <c r="G26" s="12"/>
      <c r="H26" s="12"/>
    </row>
    <row r="27" customFormat="false" ht="21.75" hidden="false" customHeight="true" outlineLevel="0" collapsed="false">
      <c r="E27" s="22" t="s">
        <v>39</v>
      </c>
      <c r="F27" s="22" t="s">
        <v>40</v>
      </c>
      <c r="G27" s="22" t="s">
        <v>41</v>
      </c>
      <c r="H27" s="22" t="s">
        <v>42</v>
      </c>
    </row>
    <row r="28" customFormat="false" ht="15" hidden="false" customHeight="false" outlineLevel="0" collapsed="false">
      <c r="E28" s="23" t="n">
        <v>1</v>
      </c>
      <c r="F28" s="24" t="n">
        <f aca="false">C23</f>
        <v>1070000</v>
      </c>
      <c r="G28" s="24" t="n">
        <f aca="false">F28*C14/100</f>
        <v>160500</v>
      </c>
      <c r="H28" s="24" t="n">
        <f aca="false">F28-G28</f>
        <v>909500</v>
      </c>
    </row>
    <row r="29" customFormat="false" ht="15" hidden="false" customHeight="false" outlineLevel="0" collapsed="false">
      <c r="E29" s="25" t="n">
        <v>2</v>
      </c>
      <c r="F29" s="26" t="n">
        <f aca="false">H28</f>
        <v>909500</v>
      </c>
      <c r="G29" s="26" t="n">
        <f aca="false">F29*C14/100</f>
        <v>136425</v>
      </c>
      <c r="H29" s="26" t="n">
        <f aca="false">F29-G29</f>
        <v>773075</v>
      </c>
    </row>
    <row r="30" customFormat="false" ht="15" hidden="false" customHeight="false" outlineLevel="0" collapsed="false">
      <c r="E30" s="23" t="n">
        <v>3</v>
      </c>
      <c r="F30" s="24" t="n">
        <f aca="false">H29</f>
        <v>773075</v>
      </c>
      <c r="G30" s="24" t="n">
        <f aca="false">F30*C14/100</f>
        <v>115961.25</v>
      </c>
      <c r="H30" s="24" t="n">
        <f aca="false">F30-G30</f>
        <v>657113.75</v>
      </c>
    </row>
    <row r="31" customFormat="false" ht="15" hidden="false" customHeight="false" outlineLevel="0" collapsed="false">
      <c r="E31" s="25" t="n">
        <v>4</v>
      </c>
      <c r="F31" s="26" t="n">
        <f aca="false">H30</f>
        <v>657113.75</v>
      </c>
      <c r="G31" s="26" t="n">
        <f aca="false">F31*C14/100</f>
        <v>98567.0625</v>
      </c>
      <c r="H31" s="26" t="n">
        <f aca="false">F31-G31</f>
        <v>558546.6875</v>
      </c>
    </row>
    <row r="32" customFormat="false" ht="15" hidden="false" customHeight="false" outlineLevel="0" collapsed="false">
      <c r="E32" s="23" t="n">
        <v>5</v>
      </c>
      <c r="F32" s="24" t="n">
        <f aca="false">H31</f>
        <v>558546.6875</v>
      </c>
      <c r="G32" s="24" t="n">
        <f aca="false">F32*C14/100</f>
        <v>83782.003125</v>
      </c>
      <c r="H32" s="24" t="n">
        <f aca="false">F32-G32</f>
        <v>474764.684375</v>
      </c>
    </row>
    <row r="33" customFormat="false" ht="15" hidden="false" customHeight="false" outlineLevel="0" collapsed="false">
      <c r="E33" s="25" t="n">
        <v>6</v>
      </c>
      <c r="F33" s="26" t="n">
        <f aca="false">H32</f>
        <v>474764.684375</v>
      </c>
      <c r="G33" s="26" t="n">
        <f aca="false">F33*C14/100</f>
        <v>71214.70265625</v>
      </c>
      <c r="H33" s="26" t="n">
        <f aca="false">F33-G33</f>
        <v>403549.98171875</v>
      </c>
    </row>
    <row r="34" customFormat="false" ht="15" hidden="false" customHeight="false" outlineLevel="0" collapsed="false">
      <c r="E34" s="23" t="n">
        <v>7</v>
      </c>
      <c r="F34" s="24" t="n">
        <f aca="false">H33</f>
        <v>403549.98171875</v>
      </c>
      <c r="G34" s="24" t="n">
        <f aca="false">F34*C14/100</f>
        <v>60532.4972578125</v>
      </c>
      <c r="H34" s="24" t="n">
        <f aca="false">F34-G34</f>
        <v>343017.484460938</v>
      </c>
    </row>
    <row r="35" customFormat="false" ht="15" hidden="false" customHeight="false" outlineLevel="0" collapsed="false">
      <c r="E35" s="25" t="n">
        <v>8</v>
      </c>
      <c r="F35" s="26" t="n">
        <f aca="false">H34</f>
        <v>343017.484460938</v>
      </c>
      <c r="G35" s="26" t="n">
        <f aca="false">F35*C14/100</f>
        <v>51452.6226691406</v>
      </c>
      <c r="H35" s="26" t="n">
        <f aca="false">F35-G35</f>
        <v>291564.861791797</v>
      </c>
    </row>
    <row r="36" customFormat="false" ht="15" hidden="false" customHeight="false" outlineLevel="0" collapsed="false">
      <c r="E36" s="23" t="n">
        <v>9</v>
      </c>
      <c r="F36" s="24" t="n">
        <f aca="false">H35</f>
        <v>291564.861791797</v>
      </c>
      <c r="G36" s="24" t="n">
        <f aca="false">F36*C14/100</f>
        <v>43734.7292687695</v>
      </c>
      <c r="H36" s="24" t="n">
        <f aca="false">F36-G36</f>
        <v>247830.132523027</v>
      </c>
    </row>
    <row r="37" customFormat="false" ht="15" hidden="false" customHeight="false" outlineLevel="0" collapsed="false">
      <c r="E37" s="25" t="n">
        <v>10</v>
      </c>
      <c r="F37" s="26" t="n">
        <f aca="false">H36</f>
        <v>247830.132523027</v>
      </c>
      <c r="G37" s="26" t="n">
        <f aca="false">F37*C14/100</f>
        <v>37174.5198784541</v>
      </c>
      <c r="H37" s="26" t="n">
        <f aca="false">F37-G37</f>
        <v>210655.612644573</v>
      </c>
    </row>
    <row r="38" customFormat="false" ht="15" hidden="false" customHeight="false" outlineLevel="0" collapsed="false">
      <c r="E38" s="23" t="n">
        <v>11</v>
      </c>
      <c r="F38" s="24" t="n">
        <f aca="false">H37</f>
        <v>210655.612644573</v>
      </c>
      <c r="G38" s="24" t="n">
        <f aca="false">F38*C14/100</f>
        <v>31598.341896686</v>
      </c>
      <c r="H38" s="24" t="n">
        <f aca="false">F38-G38</f>
        <v>179057.270747887</v>
      </c>
    </row>
    <row r="39" customFormat="false" ht="15" hidden="false" customHeight="false" outlineLevel="0" collapsed="false">
      <c r="E39" s="25" t="n">
        <v>12</v>
      </c>
      <c r="F39" s="26" t="n">
        <f aca="false">H38</f>
        <v>179057.270747887</v>
      </c>
      <c r="G39" s="26" t="n">
        <f aca="false">F39*C14/100</f>
        <v>26858.5906121831</v>
      </c>
      <c r="H39" s="26" t="n">
        <f aca="false">F39-G39</f>
        <v>152198.680135704</v>
      </c>
    </row>
    <row r="40" customFormat="false" ht="15" hidden="false" customHeight="false" outlineLevel="0" collapsed="false">
      <c r="E40" s="23" t="n">
        <v>13</v>
      </c>
      <c r="F40" s="24" t="n">
        <f aca="false">H39</f>
        <v>152198.680135704</v>
      </c>
      <c r="G40" s="24" t="n">
        <f aca="false">F40*C14/100</f>
        <v>22829.8020203556</v>
      </c>
      <c r="H40" s="24" t="n">
        <f aca="false">F40-G40</f>
        <v>129368.878115349</v>
      </c>
    </row>
    <row r="41" customFormat="false" ht="15" hidden="false" customHeight="false" outlineLevel="0" collapsed="false">
      <c r="E41" s="25" t="n">
        <v>14</v>
      </c>
      <c r="F41" s="26" t="n">
        <f aca="false">H40</f>
        <v>129368.878115349</v>
      </c>
      <c r="G41" s="26" t="n">
        <f aca="false">F41*C14/100</f>
        <v>19405.3317173023</v>
      </c>
      <c r="H41" s="26" t="n">
        <f aca="false">F41-G41</f>
        <v>109963.546398046</v>
      </c>
    </row>
    <row r="42" customFormat="false" ht="15" hidden="false" customHeight="false" outlineLevel="0" collapsed="false">
      <c r="E42" s="23" t="n">
        <v>15</v>
      </c>
      <c r="F42" s="24" t="n">
        <f aca="false">H41</f>
        <v>109963.546398046</v>
      </c>
      <c r="G42" s="24" t="n">
        <f aca="false">F42*C14/100</f>
        <v>16494.5319597069</v>
      </c>
      <c r="H42" s="24" t="n">
        <f aca="false">F42-G42</f>
        <v>93469.0144383393</v>
      </c>
    </row>
    <row r="44" customFormat="false" ht="18" hidden="false" customHeight="true" outlineLevel="0" collapsed="false">
      <c r="A44" s="11" t="s">
        <v>15</v>
      </c>
      <c r="B44" s="11"/>
      <c r="C44" s="11"/>
      <c r="D44" s="11"/>
      <c r="E44" s="11"/>
      <c r="F44" s="11"/>
      <c r="G44" s="11"/>
      <c r="H44" s="11"/>
    </row>
  </sheetData>
  <sheetProtection sheet="true" password="bbbc" objects="true" scenarios="true"/>
  <mergeCells count="8">
    <mergeCell ref="A1:H1"/>
    <mergeCell ref="A2:H2"/>
    <mergeCell ref="A3:H3"/>
    <mergeCell ref="A4:H4"/>
    <mergeCell ref="A6:H6"/>
    <mergeCell ref="A17:H17"/>
    <mergeCell ref="A26:H26"/>
    <mergeCell ref="A44:H44"/>
  </mergeCells>
  <dataValidations count="2">
    <dataValidation allowBlank="false" error="Please pick an asset class from the dropdown" errorStyle="stop" errorTitle="Invalid Asset" operator="between" showDropDown="false" showErrorMessage="true" showInputMessage="false" sqref="C7" type="list">
      <formula1>AssetList</formula1>
      <formula2>0</formula2>
    </dataValidation>
    <dataValidation allowBlank="false" error="Please select Yes or No" errorStyle="stop" errorTitle="Invalid" operator="between" showDropDown="false" showErrorMessage="true" showInputMessage="false" sqref="C15" type="list">
      <formula1>"Yes,No"</formula1>
      <formula2>0</formula2>
    </dataValidation>
  </dataValidations>
  <printOptions headings="false" gridLines="false" gridLinesSet="true" horizontalCentered="false" verticalCentered="false"/>
  <pageMargins left="0.75" right="0.75" top="1" bottom="1"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H39"/>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8.6796875" defaultRowHeight="15" customHeight="false" zeroHeight="false" outlineLevelRow="0" outlineLevelCol="0"/>
  <cols>
    <col collapsed="false" customWidth="true" hidden="false" outlineLevel="0" max="1" min="1" style="0" width="4"/>
    <col collapsed="false" customWidth="true" hidden="false" outlineLevel="0" max="2" min="2" style="0" width="36"/>
    <col collapsed="false" customWidth="true" hidden="false" outlineLevel="0" max="3" min="3" style="0" width="26"/>
    <col collapsed="false" customWidth="true" hidden="false" outlineLevel="0" max="4" min="4" style="0" width="4"/>
    <col collapsed="false" customWidth="true" hidden="false" outlineLevel="0" max="5" min="5" style="0" width="8"/>
    <col collapsed="false" customWidth="true" hidden="false" outlineLevel="0" max="8" min="6" style="0" width="18"/>
  </cols>
  <sheetData>
    <row r="1" customFormat="false" ht="25.5" hidden="false" customHeight="true" outlineLevel="0" collapsed="false">
      <c r="A1" s="1" t="s">
        <v>0</v>
      </c>
      <c r="B1" s="1"/>
      <c r="C1" s="1"/>
      <c r="D1" s="1"/>
      <c r="E1" s="1"/>
      <c r="F1" s="1"/>
      <c r="G1" s="1"/>
      <c r="H1" s="1"/>
    </row>
    <row r="2" customFormat="false" ht="24" hidden="false" customHeight="true" outlineLevel="0" collapsed="false">
      <c r="A2" s="2" t="s">
        <v>43</v>
      </c>
      <c r="B2" s="2"/>
      <c r="C2" s="2"/>
      <c r="D2" s="2"/>
      <c r="E2" s="2"/>
      <c r="F2" s="2"/>
      <c r="G2" s="2"/>
      <c r="H2" s="2"/>
    </row>
    <row r="3" customFormat="false" ht="18" hidden="false" customHeight="true" outlineLevel="0" collapsed="false">
      <c r="A3" s="3" t="s">
        <v>2</v>
      </c>
      <c r="B3" s="3"/>
      <c r="C3" s="3"/>
      <c r="D3" s="3"/>
      <c r="E3" s="3"/>
      <c r="F3" s="3"/>
      <c r="G3" s="3"/>
      <c r="H3" s="3"/>
    </row>
    <row r="4" customFormat="false" ht="15.75" hidden="false" customHeight="true" outlineLevel="0" collapsed="false">
      <c r="A4" s="4" t="s">
        <v>44</v>
      </c>
      <c r="B4" s="4"/>
      <c r="C4" s="4"/>
      <c r="D4" s="4"/>
      <c r="E4" s="4"/>
      <c r="F4" s="4"/>
      <c r="G4" s="4"/>
      <c r="H4" s="4"/>
    </row>
    <row r="6" customFormat="false" ht="21.75" hidden="false" customHeight="true" outlineLevel="0" collapsed="false">
      <c r="A6" s="12" t="s">
        <v>18</v>
      </c>
      <c r="B6" s="12"/>
      <c r="C6" s="12"/>
      <c r="D6" s="12"/>
      <c r="E6" s="12"/>
      <c r="F6" s="12"/>
      <c r="G6" s="12"/>
      <c r="H6" s="12"/>
    </row>
    <row r="7" customFormat="false" ht="15" hidden="false" customHeight="false" outlineLevel="0" collapsed="false">
      <c r="B7" s="13" t="s">
        <v>19</v>
      </c>
      <c r="C7" s="14" t="s">
        <v>45</v>
      </c>
    </row>
    <row r="8" customFormat="false" ht="15" hidden="false" customHeight="false" outlineLevel="0" collapsed="false">
      <c r="B8" s="13" t="s">
        <v>46</v>
      </c>
      <c r="C8" s="15" t="n">
        <v>100000</v>
      </c>
    </row>
    <row r="9" customFormat="false" ht="15" hidden="false" customHeight="false" outlineLevel="0" collapsed="false">
      <c r="B9" s="13" t="s">
        <v>47</v>
      </c>
      <c r="C9" s="27" t="n">
        <f aca="false">IFERROR(VLOOKUP(C7,'Rate Reference'!$B$7:$E$24,3,FALSE()),0)</f>
        <v>3</v>
      </c>
    </row>
    <row r="10" customFormat="false" ht="15" hidden="false" customHeight="false" outlineLevel="0" collapsed="false">
      <c r="B10" s="13" t="s">
        <v>48</v>
      </c>
      <c r="C10" s="28" t="n">
        <v>0</v>
      </c>
    </row>
    <row r="11" customFormat="false" ht="15" hidden="false" customHeight="false" outlineLevel="0" collapsed="false">
      <c r="B11" s="13" t="s">
        <v>49</v>
      </c>
      <c r="C11" s="29" t="n">
        <f aca="false">IF(C10&gt;0,C10,C9)</f>
        <v>3</v>
      </c>
    </row>
    <row r="12" customFormat="false" ht="15" hidden="false" customHeight="false" outlineLevel="0" collapsed="false">
      <c r="B12" s="13" t="s">
        <v>50</v>
      </c>
      <c r="C12" s="30" t="n">
        <v>5</v>
      </c>
    </row>
    <row r="13" customFormat="false" ht="15" hidden="false" customHeight="false" outlineLevel="0" collapsed="false">
      <c r="B13" s="13" t="s">
        <v>51</v>
      </c>
      <c r="C13" s="31" t="n">
        <v>46113</v>
      </c>
    </row>
    <row r="15" customFormat="false" ht="21.75" hidden="false" customHeight="true" outlineLevel="0" collapsed="false">
      <c r="A15" s="12" t="s">
        <v>30</v>
      </c>
      <c r="B15" s="12"/>
      <c r="C15" s="12"/>
      <c r="D15" s="12"/>
      <c r="E15" s="12"/>
      <c r="F15" s="12"/>
      <c r="G15" s="12"/>
      <c r="H15" s="12"/>
    </row>
    <row r="16" customFormat="false" ht="15" hidden="false" customHeight="false" outlineLevel="0" collapsed="false">
      <c r="B16" s="13" t="s">
        <v>52</v>
      </c>
      <c r="C16" s="19" t="n">
        <f aca="false">C8*C12/100</f>
        <v>5000</v>
      </c>
    </row>
    <row r="17" customFormat="false" ht="15" hidden="false" customHeight="false" outlineLevel="0" collapsed="false">
      <c r="B17" s="13" t="s">
        <v>53</v>
      </c>
      <c r="C17" s="19" t="n">
        <f aca="false">C8-C16</f>
        <v>95000</v>
      </c>
    </row>
    <row r="18" customFormat="false" ht="15" hidden="false" customHeight="false" outlineLevel="0" collapsed="false">
      <c r="B18" s="13" t="s">
        <v>54</v>
      </c>
      <c r="C18" s="20" t="n">
        <f aca="false">IFERROR(C17/C11,0)</f>
        <v>31666.6666666667</v>
      </c>
    </row>
    <row r="19" customFormat="false" ht="15" hidden="false" customHeight="false" outlineLevel="0" collapsed="false">
      <c r="B19" s="13" t="s">
        <v>55</v>
      </c>
      <c r="C19" s="21" t="n">
        <f aca="false">IFERROR(C18/C8,0)</f>
        <v>0.316666666666667</v>
      </c>
    </row>
    <row r="21" customFormat="false" ht="21.75" hidden="false" customHeight="true" outlineLevel="0" collapsed="false">
      <c r="A21" s="12" t="s">
        <v>56</v>
      </c>
      <c r="B21" s="12"/>
      <c r="C21" s="12"/>
      <c r="D21" s="12"/>
      <c r="E21" s="12"/>
      <c r="F21" s="12"/>
      <c r="G21" s="12"/>
      <c r="H21" s="12"/>
    </row>
    <row r="22" customFormat="false" ht="21.75" hidden="false" customHeight="true" outlineLevel="0" collapsed="false">
      <c r="E22" s="22" t="s">
        <v>39</v>
      </c>
      <c r="F22" s="22" t="s">
        <v>57</v>
      </c>
      <c r="G22" s="22" t="s">
        <v>58</v>
      </c>
      <c r="H22" s="22" t="s">
        <v>59</v>
      </c>
    </row>
    <row r="23" customFormat="false" ht="15" hidden="false" customHeight="false" outlineLevel="0" collapsed="false">
      <c r="E23" s="23" t="n">
        <f aca="false">IF(1&lt;=CEILING(C11,1),1,"")</f>
        <v>1</v>
      </c>
      <c r="F23" s="24" t="n">
        <f aca="false">IF(1&lt;=CEILING(C11,1),C8,"")</f>
        <v>100000</v>
      </c>
      <c r="G23" s="24" t="n">
        <f aca="false">IF(1&lt;=CEILING(C11,1),MIN(C18,F23-C16),"")</f>
        <v>31666.6666666667</v>
      </c>
      <c r="H23" s="24" t="n">
        <f aca="false">IF(1&lt;=CEILING(C11,1),F23-G23,"")</f>
        <v>68333.3333333333</v>
      </c>
    </row>
    <row r="24" customFormat="false" ht="15" hidden="false" customHeight="false" outlineLevel="0" collapsed="false">
      <c r="E24" s="25" t="n">
        <f aca="false">IF(2&lt;=CEILING(C11,1),2,"")</f>
        <v>2</v>
      </c>
      <c r="F24" s="26" t="n">
        <f aca="false">IF(2&lt;=CEILING(C11,1),H23,"")</f>
        <v>68333.3333333333</v>
      </c>
      <c r="G24" s="26" t="n">
        <f aca="false">IF(2&lt;=CEILING(C11,1),MIN(C18,F24-C16),"")</f>
        <v>31666.6666666667</v>
      </c>
      <c r="H24" s="26" t="n">
        <f aca="false">IF(2&lt;=CEILING(C11,1),F24-G24,"")</f>
        <v>36666.6666666667</v>
      </c>
    </row>
    <row r="25" customFormat="false" ht="15" hidden="false" customHeight="false" outlineLevel="0" collapsed="false">
      <c r="E25" s="23" t="n">
        <f aca="false">IF(3&lt;=CEILING(C11,1),3,"")</f>
        <v>3</v>
      </c>
      <c r="F25" s="24" t="n">
        <f aca="false">IF(3&lt;=CEILING(C11,1),H24,"")</f>
        <v>36666.6666666667</v>
      </c>
      <c r="G25" s="24" t="n">
        <f aca="false">IF(3&lt;=CEILING(C11,1),MIN(C18,F25-C16),"")</f>
        <v>31666.6666666667</v>
      </c>
      <c r="H25" s="24" t="n">
        <f aca="false">IF(3&lt;=CEILING(C11,1),F25-G25,"")</f>
        <v>5000</v>
      </c>
    </row>
    <row r="26" customFormat="false" ht="15" hidden="false" customHeight="false" outlineLevel="0" collapsed="false">
      <c r="E26" s="25" t="str">
        <f aca="false">IF(4&lt;=CEILING(C11,1),4,"")</f>
        <v/>
      </c>
      <c r="F26" s="26" t="str">
        <f aca="false">IF(4&lt;=CEILING(C11,1),H25,"")</f>
        <v/>
      </c>
      <c r="G26" s="26" t="str">
        <f aca="false">IF(4&lt;=CEILING(C11,1),MIN(C18,F26-C16),"")</f>
        <v/>
      </c>
      <c r="H26" s="26" t="str">
        <f aca="false">IF(4&lt;=CEILING(C11,1),F26-G26,"")</f>
        <v/>
      </c>
    </row>
    <row r="27" customFormat="false" ht="15" hidden="false" customHeight="false" outlineLevel="0" collapsed="false">
      <c r="E27" s="23" t="str">
        <f aca="false">IF(5&lt;=CEILING(C11,1),5,"")</f>
        <v/>
      </c>
      <c r="F27" s="24" t="str">
        <f aca="false">IF(5&lt;=CEILING(C11,1),H26,"")</f>
        <v/>
      </c>
      <c r="G27" s="24" t="str">
        <f aca="false">IF(5&lt;=CEILING(C11,1),MIN(C18,F27-C16),"")</f>
        <v/>
      </c>
      <c r="H27" s="24" t="str">
        <f aca="false">IF(5&lt;=CEILING(C11,1),F27-G27,"")</f>
        <v/>
      </c>
    </row>
    <row r="28" customFormat="false" ht="15" hidden="false" customHeight="false" outlineLevel="0" collapsed="false">
      <c r="E28" s="25" t="str">
        <f aca="false">IF(6&lt;=CEILING(C11,1),6,"")</f>
        <v/>
      </c>
      <c r="F28" s="26" t="str">
        <f aca="false">IF(6&lt;=CEILING(C11,1),H27,"")</f>
        <v/>
      </c>
      <c r="G28" s="26" t="str">
        <f aca="false">IF(6&lt;=CEILING(C11,1),MIN(C18,F28-C16),"")</f>
        <v/>
      </c>
      <c r="H28" s="26" t="str">
        <f aca="false">IF(6&lt;=CEILING(C11,1),F28-G28,"")</f>
        <v/>
      </c>
    </row>
    <row r="29" customFormat="false" ht="15" hidden="false" customHeight="false" outlineLevel="0" collapsed="false">
      <c r="E29" s="23" t="str">
        <f aca="false">IF(7&lt;=CEILING(C11,1),7,"")</f>
        <v/>
      </c>
      <c r="F29" s="24" t="str">
        <f aca="false">IF(7&lt;=CEILING(C11,1),H28,"")</f>
        <v/>
      </c>
      <c r="G29" s="24" t="str">
        <f aca="false">IF(7&lt;=CEILING(C11,1),MIN(C18,F29-C16),"")</f>
        <v/>
      </c>
      <c r="H29" s="24" t="str">
        <f aca="false">IF(7&lt;=CEILING(C11,1),F29-G29,"")</f>
        <v/>
      </c>
    </row>
    <row r="30" customFormat="false" ht="15" hidden="false" customHeight="false" outlineLevel="0" collapsed="false">
      <c r="E30" s="25" t="str">
        <f aca="false">IF(8&lt;=CEILING(C11,1),8,"")</f>
        <v/>
      </c>
      <c r="F30" s="26" t="str">
        <f aca="false">IF(8&lt;=CEILING(C11,1),H29,"")</f>
        <v/>
      </c>
      <c r="G30" s="26" t="str">
        <f aca="false">IF(8&lt;=CEILING(C11,1),MIN(C18,F30-C16),"")</f>
        <v/>
      </c>
      <c r="H30" s="26" t="str">
        <f aca="false">IF(8&lt;=CEILING(C11,1),F30-G30,"")</f>
        <v/>
      </c>
    </row>
    <row r="31" customFormat="false" ht="15" hidden="false" customHeight="false" outlineLevel="0" collapsed="false">
      <c r="E31" s="23" t="str">
        <f aca="false">IF(9&lt;=CEILING(C11,1),9,"")</f>
        <v/>
      </c>
      <c r="F31" s="24" t="str">
        <f aca="false">IF(9&lt;=CEILING(C11,1),H30,"")</f>
        <v/>
      </c>
      <c r="G31" s="24" t="str">
        <f aca="false">IF(9&lt;=CEILING(C11,1),MIN(C18,F31-C16),"")</f>
        <v/>
      </c>
      <c r="H31" s="24" t="str">
        <f aca="false">IF(9&lt;=CEILING(C11,1),F31-G31,"")</f>
        <v/>
      </c>
    </row>
    <row r="32" customFormat="false" ht="15" hidden="false" customHeight="false" outlineLevel="0" collapsed="false">
      <c r="E32" s="25" t="str">
        <f aca="false">IF(10&lt;=CEILING(C11,1),10,"")</f>
        <v/>
      </c>
      <c r="F32" s="26" t="str">
        <f aca="false">IF(10&lt;=CEILING(C11,1),H31,"")</f>
        <v/>
      </c>
      <c r="G32" s="26" t="str">
        <f aca="false">IF(10&lt;=CEILING(C11,1),MIN(C18,F32-C16),"")</f>
        <v/>
      </c>
      <c r="H32" s="26" t="str">
        <f aca="false">IF(10&lt;=CEILING(C11,1),F32-G32,"")</f>
        <v/>
      </c>
    </row>
    <row r="33" customFormat="false" ht="15" hidden="false" customHeight="false" outlineLevel="0" collapsed="false">
      <c r="E33" s="23" t="str">
        <f aca="false">IF(11&lt;=CEILING(C11,1),11,"")</f>
        <v/>
      </c>
      <c r="F33" s="24" t="str">
        <f aca="false">IF(11&lt;=CEILING(C11,1),H32,"")</f>
        <v/>
      </c>
      <c r="G33" s="24" t="str">
        <f aca="false">IF(11&lt;=CEILING(C11,1),MIN(C18,F33-C16),"")</f>
        <v/>
      </c>
      <c r="H33" s="24" t="str">
        <f aca="false">IF(11&lt;=CEILING(C11,1),F33-G33,"")</f>
        <v/>
      </c>
    </row>
    <row r="34" customFormat="false" ht="15" hidden="false" customHeight="false" outlineLevel="0" collapsed="false">
      <c r="E34" s="25" t="str">
        <f aca="false">IF(12&lt;=CEILING(C11,1),12,"")</f>
        <v/>
      </c>
      <c r="F34" s="26" t="str">
        <f aca="false">IF(12&lt;=CEILING(C11,1),H33,"")</f>
        <v/>
      </c>
      <c r="G34" s="26" t="str">
        <f aca="false">IF(12&lt;=CEILING(C11,1),MIN(C18,F34-C16),"")</f>
        <v/>
      </c>
      <c r="H34" s="26" t="str">
        <f aca="false">IF(12&lt;=CEILING(C11,1),F34-G34,"")</f>
        <v/>
      </c>
    </row>
    <row r="35" customFormat="false" ht="15" hidden="false" customHeight="false" outlineLevel="0" collapsed="false">
      <c r="E35" s="23" t="str">
        <f aca="false">IF(13&lt;=CEILING(C11,1),13,"")</f>
        <v/>
      </c>
      <c r="F35" s="24" t="str">
        <f aca="false">IF(13&lt;=CEILING(C11,1),H34,"")</f>
        <v/>
      </c>
      <c r="G35" s="24" t="str">
        <f aca="false">IF(13&lt;=CEILING(C11,1),MIN(C18,F35-C16),"")</f>
        <v/>
      </c>
      <c r="H35" s="24" t="str">
        <f aca="false">IF(13&lt;=CEILING(C11,1),F35-G35,"")</f>
        <v/>
      </c>
    </row>
    <row r="36" customFormat="false" ht="15" hidden="false" customHeight="false" outlineLevel="0" collapsed="false">
      <c r="E36" s="25" t="str">
        <f aca="false">IF(14&lt;=CEILING(C11,1),14,"")</f>
        <v/>
      </c>
      <c r="F36" s="26" t="str">
        <f aca="false">IF(14&lt;=CEILING(C11,1),H35,"")</f>
        <v/>
      </c>
      <c r="G36" s="26" t="str">
        <f aca="false">IF(14&lt;=CEILING(C11,1),MIN(C18,F36-C16),"")</f>
        <v/>
      </c>
      <c r="H36" s="26" t="str">
        <f aca="false">IF(14&lt;=CEILING(C11,1),F36-G36,"")</f>
        <v/>
      </c>
    </row>
    <row r="37" customFormat="false" ht="15" hidden="false" customHeight="false" outlineLevel="0" collapsed="false">
      <c r="E37" s="23" t="str">
        <f aca="false">IF(15&lt;=CEILING(C11,1),15,"")</f>
        <v/>
      </c>
      <c r="F37" s="24" t="str">
        <f aca="false">IF(15&lt;=CEILING(C11,1),H36,"")</f>
        <v/>
      </c>
      <c r="G37" s="24" t="str">
        <f aca="false">IF(15&lt;=CEILING(C11,1),MIN(C18,F37-C16),"")</f>
        <v/>
      </c>
      <c r="H37" s="24" t="str">
        <f aca="false">IF(15&lt;=CEILING(C11,1),F37-G37,"")</f>
        <v/>
      </c>
    </row>
    <row r="39" customFormat="false" ht="18" hidden="false" customHeight="true" outlineLevel="0" collapsed="false">
      <c r="A39" s="11" t="s">
        <v>15</v>
      </c>
      <c r="B39" s="11"/>
      <c r="C39" s="11"/>
      <c r="D39" s="11"/>
      <c r="E39" s="11"/>
      <c r="F39" s="11"/>
      <c r="G39" s="11"/>
      <c r="H39" s="11"/>
    </row>
  </sheetData>
  <sheetProtection sheet="true" password="bbbc" objects="true" scenarios="true"/>
  <mergeCells count="8">
    <mergeCell ref="A1:H1"/>
    <mergeCell ref="A2:H2"/>
    <mergeCell ref="A3:H3"/>
    <mergeCell ref="A4:H4"/>
    <mergeCell ref="A6:H6"/>
    <mergeCell ref="A15:H15"/>
    <mergeCell ref="A21:H21"/>
    <mergeCell ref="A39:H39"/>
  </mergeCells>
  <dataValidations count="1">
    <dataValidation allowBlank="false" error="Please pick an asset class from the dropdown" errorStyle="stop" errorTitle="Invalid Asset" operator="between" showDropDown="false" showErrorMessage="true" showInputMessage="false" sqref="C7" type="list">
      <formula1>AssetList</formula1>
      <formula2>0</formula2>
    </dataValidation>
  </dataValidations>
  <printOptions headings="false" gridLines="false" gridLinesSet="true" horizontalCentered="false" verticalCentered="false"/>
  <pageMargins left="0.75" right="0.75" top="1" bottom="1"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H37"/>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8.6796875" defaultRowHeight="15" customHeight="false" zeroHeight="false" outlineLevelRow="0" outlineLevelCol="0"/>
  <cols>
    <col collapsed="false" customWidth="true" hidden="false" outlineLevel="0" max="1" min="1" style="0" width="4"/>
    <col collapsed="false" customWidth="true" hidden="false" outlineLevel="0" max="2" min="2" style="0" width="36"/>
    <col collapsed="false" customWidth="true" hidden="false" outlineLevel="0" max="3" min="3" style="0" width="26"/>
    <col collapsed="false" customWidth="true" hidden="false" outlineLevel="0" max="4" min="4" style="0" width="4"/>
    <col collapsed="false" customWidth="true" hidden="false" outlineLevel="0" max="5" min="5" style="0" width="8"/>
    <col collapsed="false" customWidth="true" hidden="false" outlineLevel="0" max="8" min="6" style="0" width="18"/>
  </cols>
  <sheetData>
    <row r="1" customFormat="false" ht="25.5" hidden="false" customHeight="true" outlineLevel="0" collapsed="false">
      <c r="A1" s="1" t="s">
        <v>0</v>
      </c>
      <c r="B1" s="1"/>
      <c r="C1" s="1"/>
      <c r="D1" s="1"/>
      <c r="E1" s="1"/>
      <c r="F1" s="1"/>
      <c r="G1" s="1"/>
      <c r="H1" s="1"/>
    </row>
    <row r="2" customFormat="false" ht="24" hidden="false" customHeight="true" outlineLevel="0" collapsed="false">
      <c r="A2" s="2" t="s">
        <v>60</v>
      </c>
      <c r="B2" s="2"/>
      <c r="C2" s="2"/>
      <c r="D2" s="2"/>
      <c r="E2" s="2"/>
      <c r="F2" s="2"/>
      <c r="G2" s="2"/>
      <c r="H2" s="2"/>
    </row>
    <row r="3" customFormat="false" ht="18" hidden="false" customHeight="true" outlineLevel="0" collapsed="false">
      <c r="A3" s="3" t="s">
        <v>2</v>
      </c>
      <c r="B3" s="3"/>
      <c r="C3" s="3"/>
      <c r="D3" s="3"/>
      <c r="E3" s="3"/>
      <c r="F3" s="3"/>
      <c r="G3" s="3"/>
      <c r="H3" s="3"/>
    </row>
    <row r="4" customFormat="false" ht="15.75" hidden="false" customHeight="true" outlineLevel="0" collapsed="false">
      <c r="A4" s="4" t="s">
        <v>61</v>
      </c>
      <c r="B4" s="4"/>
      <c r="C4" s="4"/>
      <c r="D4" s="4"/>
      <c r="E4" s="4"/>
      <c r="F4" s="4"/>
      <c r="G4" s="4"/>
      <c r="H4" s="4"/>
    </row>
    <row r="6" customFormat="false" ht="21.75" hidden="false" customHeight="true" outlineLevel="0" collapsed="false">
      <c r="A6" s="12" t="s">
        <v>18</v>
      </c>
      <c r="B6" s="12"/>
      <c r="C6" s="12"/>
      <c r="D6" s="12"/>
      <c r="E6" s="12"/>
      <c r="F6" s="12"/>
      <c r="G6" s="12"/>
      <c r="H6" s="12"/>
    </row>
    <row r="7" customFormat="false" ht="15" hidden="false" customHeight="false" outlineLevel="0" collapsed="false">
      <c r="B7" s="13" t="s">
        <v>19</v>
      </c>
      <c r="C7" s="14" t="s">
        <v>62</v>
      </c>
    </row>
    <row r="8" customFormat="false" ht="15" hidden="false" customHeight="false" outlineLevel="0" collapsed="false">
      <c r="B8" s="13" t="s">
        <v>46</v>
      </c>
      <c r="C8" s="15" t="n">
        <v>500000</v>
      </c>
    </row>
    <row r="9" customFormat="false" ht="15" hidden="false" customHeight="false" outlineLevel="0" collapsed="false">
      <c r="B9" s="13" t="s">
        <v>47</v>
      </c>
      <c r="C9" s="27" t="n">
        <f aca="false">IFERROR(VLOOKUP(C7,'Rate Reference'!$B$7:$E$24,3,FALSE()),0)</f>
        <v>10</v>
      </c>
    </row>
    <row r="10" customFormat="false" ht="15" hidden="false" customHeight="false" outlineLevel="0" collapsed="false">
      <c r="B10" s="13" t="s">
        <v>48</v>
      </c>
      <c r="C10" s="28" t="n">
        <v>0</v>
      </c>
    </row>
    <row r="11" customFormat="false" ht="15" hidden="false" customHeight="false" outlineLevel="0" collapsed="false">
      <c r="B11" s="13" t="s">
        <v>49</v>
      </c>
      <c r="C11" s="29" t="n">
        <f aca="false">IF(C10&gt;0,C10,C9)</f>
        <v>10</v>
      </c>
    </row>
    <row r="12" customFormat="false" ht="15" hidden="false" customHeight="false" outlineLevel="0" collapsed="false">
      <c r="B12" s="13" t="s">
        <v>50</v>
      </c>
      <c r="C12" s="30" t="n">
        <v>5</v>
      </c>
    </row>
    <row r="14" customFormat="false" ht="21.75" hidden="false" customHeight="true" outlineLevel="0" collapsed="false">
      <c r="A14" s="12" t="s">
        <v>30</v>
      </c>
      <c r="B14" s="12"/>
      <c r="C14" s="12"/>
      <c r="D14" s="12"/>
      <c r="E14" s="12"/>
      <c r="F14" s="12"/>
      <c r="G14" s="12"/>
      <c r="H14" s="12"/>
    </row>
    <row r="15" customFormat="false" ht="15" hidden="false" customHeight="false" outlineLevel="0" collapsed="false">
      <c r="B15" s="13" t="s">
        <v>63</v>
      </c>
      <c r="C15" s="21" t="n">
        <f aca="false">IFERROR(1-(C12/100)^(1/C11),0)</f>
        <v>0.258865550893052</v>
      </c>
    </row>
    <row r="16" customFormat="false" ht="15" hidden="false" customHeight="false" outlineLevel="0" collapsed="false">
      <c r="B16" s="13" t="s">
        <v>64</v>
      </c>
      <c r="C16" s="20" t="n">
        <f aca="false">C8*C15</f>
        <v>129432.775446526</v>
      </c>
    </row>
    <row r="17" customFormat="false" ht="15" hidden="false" customHeight="false" outlineLevel="0" collapsed="false">
      <c r="B17" s="13" t="s">
        <v>52</v>
      </c>
      <c r="C17" s="19" t="n">
        <f aca="false">C8*C12/100</f>
        <v>25000</v>
      </c>
    </row>
    <row r="19" customFormat="false" ht="21.75" hidden="false" customHeight="true" outlineLevel="0" collapsed="false">
      <c r="A19" s="12" t="s">
        <v>65</v>
      </c>
      <c r="B19" s="12"/>
      <c r="C19" s="12"/>
      <c r="D19" s="12"/>
      <c r="E19" s="12"/>
      <c r="F19" s="12"/>
      <c r="G19" s="12"/>
      <c r="H19" s="12"/>
    </row>
    <row r="20" customFormat="false" ht="21.75" hidden="false" customHeight="true" outlineLevel="0" collapsed="false">
      <c r="E20" s="22" t="s">
        <v>39</v>
      </c>
      <c r="F20" s="22" t="s">
        <v>57</v>
      </c>
      <c r="G20" s="22" t="s">
        <v>58</v>
      </c>
      <c r="H20" s="22" t="s">
        <v>59</v>
      </c>
    </row>
    <row r="21" customFormat="false" ht="15" hidden="false" customHeight="false" outlineLevel="0" collapsed="false">
      <c r="E21" s="23" t="n">
        <f aca="false">IF(1&lt;=CEILING(C11,1),1,"")</f>
        <v>1</v>
      </c>
      <c r="F21" s="24" t="n">
        <f aca="false">IF(1&lt;=CEILING(C11,1),C8,"")</f>
        <v>500000</v>
      </c>
      <c r="G21" s="24" t="n">
        <f aca="false">IF(1&lt;=CEILING(C11,1),F21*C15,"")</f>
        <v>129432.775446526</v>
      </c>
      <c r="H21" s="24" t="n">
        <f aca="false">IF(1&lt;=CEILING(C11,1),F21-G21,"")</f>
        <v>370567.224553474</v>
      </c>
    </row>
    <row r="22" customFormat="false" ht="15" hidden="false" customHeight="false" outlineLevel="0" collapsed="false">
      <c r="E22" s="25" t="n">
        <f aca="false">IF(2&lt;=CEILING(C11,1),2,"")</f>
        <v>2</v>
      </c>
      <c r="F22" s="26" t="n">
        <f aca="false">IF(2&lt;=CEILING(C11,1),H21,"")</f>
        <v>370567.224553474</v>
      </c>
      <c r="G22" s="26" t="n">
        <f aca="false">IF(2&lt;=CEILING(C11,1),F22*C15,"")</f>
        <v>95927.0887269444</v>
      </c>
      <c r="H22" s="26" t="n">
        <f aca="false">IF(2&lt;=CEILING(C11,1),F22-G22,"")</f>
        <v>274640.135826529</v>
      </c>
    </row>
    <row r="23" customFormat="false" ht="15" hidden="false" customHeight="false" outlineLevel="0" collapsed="false">
      <c r="E23" s="23" t="n">
        <f aca="false">IF(3&lt;=CEILING(C11,1),3,"")</f>
        <v>3</v>
      </c>
      <c r="F23" s="24" t="n">
        <f aca="false">IF(3&lt;=CEILING(C11,1),H22,"")</f>
        <v>274640.135826529</v>
      </c>
      <c r="G23" s="24" t="n">
        <f aca="false">IF(3&lt;=CEILING(C11,1),F23*C15,"")</f>
        <v>71094.8700580773</v>
      </c>
      <c r="H23" s="24" t="n">
        <f aca="false">IF(3&lt;=CEILING(C11,1),F23-G23,"")</f>
        <v>203545.265768452</v>
      </c>
    </row>
    <row r="24" customFormat="false" ht="15" hidden="false" customHeight="false" outlineLevel="0" collapsed="false">
      <c r="E24" s="25" t="n">
        <f aca="false">IF(4&lt;=CEILING(C11,1),4,"")</f>
        <v>4</v>
      </c>
      <c r="F24" s="26" t="n">
        <f aca="false">IF(4&lt;=CEILING(C11,1),H23,"")</f>
        <v>203545.265768452</v>
      </c>
      <c r="G24" s="26" t="n">
        <f aca="false">IF(4&lt;=CEILING(C11,1),F24*C15,"")</f>
        <v>52690.8573548231</v>
      </c>
      <c r="H24" s="26" t="n">
        <f aca="false">IF(4&lt;=CEILING(C11,1),F24-G24,"")</f>
        <v>150854.408413629</v>
      </c>
    </row>
    <row r="25" customFormat="false" ht="15" hidden="false" customHeight="false" outlineLevel="0" collapsed="false">
      <c r="E25" s="23" t="n">
        <f aca="false">IF(5&lt;=CEILING(C11,1),5,"")</f>
        <v>5</v>
      </c>
      <c r="F25" s="24" t="n">
        <f aca="false">IF(5&lt;=CEILING(C11,1),H24,"")</f>
        <v>150854.408413629</v>
      </c>
      <c r="G25" s="24" t="n">
        <f aca="false">IF(5&lt;=CEILING(C11,1),F25*C15,"")</f>
        <v>39051.0095386396</v>
      </c>
      <c r="H25" s="24" t="n">
        <f aca="false">IF(5&lt;=CEILING(C11,1),F25-G25,"")</f>
        <v>111803.398874989</v>
      </c>
    </row>
    <row r="26" customFormat="false" ht="15" hidden="false" customHeight="false" outlineLevel="0" collapsed="false">
      <c r="E26" s="25" t="n">
        <f aca="false">IF(6&lt;=CEILING(C11,1),6,"")</f>
        <v>6</v>
      </c>
      <c r="F26" s="26" t="n">
        <f aca="false">IF(6&lt;=CEILING(C11,1),H25,"")</f>
        <v>111803.398874989</v>
      </c>
      <c r="G26" s="26" t="n">
        <f aca="false">IF(6&lt;=CEILING(C11,1),F26*C15,"")</f>
        <v>28942.0484414898</v>
      </c>
      <c r="H26" s="26" t="n">
        <f aca="false">IF(6&lt;=CEILING(C11,1),F26-G26,"")</f>
        <v>82861.3504334997</v>
      </c>
    </row>
    <row r="27" customFormat="false" ht="15" hidden="false" customHeight="false" outlineLevel="0" collapsed="false">
      <c r="E27" s="23" t="n">
        <f aca="false">IF(7&lt;=CEILING(C11,1),7,"")</f>
        <v>7</v>
      </c>
      <c r="F27" s="24" t="n">
        <f aca="false">IF(7&lt;=CEILING(C11,1),H26,"")</f>
        <v>82861.3504334997</v>
      </c>
      <c r="G27" s="24" t="n">
        <f aca="false">IF(7&lt;=CEILING(C11,1),F27*C15,"")</f>
        <v>21449.9491277101</v>
      </c>
      <c r="H27" s="24" t="n">
        <f aca="false">IF(7&lt;=CEILING(C11,1),F27-G27,"")</f>
        <v>61411.4013057895</v>
      </c>
    </row>
    <row r="28" customFormat="false" ht="15" hidden="false" customHeight="false" outlineLevel="0" collapsed="false">
      <c r="E28" s="25" t="n">
        <f aca="false">IF(8&lt;=CEILING(C11,1),8,"")</f>
        <v>8</v>
      </c>
      <c r="F28" s="26" t="n">
        <f aca="false">IF(8&lt;=CEILING(C11,1),H27,"")</f>
        <v>61411.4013057895</v>
      </c>
      <c r="G28" s="26" t="n">
        <f aca="false">IF(8&lt;=CEILING(C11,1),F28*C15,"")</f>
        <v>15897.2962301375</v>
      </c>
      <c r="H28" s="26" t="n">
        <f aca="false">IF(8&lt;=CEILING(C11,1),F28-G28,"")</f>
        <v>45514.105075652</v>
      </c>
    </row>
    <row r="29" customFormat="false" ht="15" hidden="false" customHeight="false" outlineLevel="0" collapsed="false">
      <c r="E29" s="23" t="n">
        <f aca="false">IF(9&lt;=CEILING(C11,1),9,"")</f>
        <v>9</v>
      </c>
      <c r="F29" s="24" t="n">
        <f aca="false">IF(9&lt;=CEILING(C11,1),H28,"")</f>
        <v>45514.105075652</v>
      </c>
      <c r="G29" s="24" t="n">
        <f aca="false">IF(9&lt;=CEILING(C11,1),F29*C15,"")</f>
        <v>11782.0338838129</v>
      </c>
      <c r="H29" s="24" t="n">
        <f aca="false">IF(9&lt;=CEILING(C11,1),F29-G29,"")</f>
        <v>33732.0711918391</v>
      </c>
    </row>
    <row r="30" customFormat="false" ht="15" hidden="false" customHeight="false" outlineLevel="0" collapsed="false">
      <c r="E30" s="25" t="n">
        <f aca="false">IF(10&lt;=CEILING(C11,1),10,"")</f>
        <v>10</v>
      </c>
      <c r="F30" s="26" t="n">
        <f aca="false">IF(10&lt;=CEILING(C11,1),H29,"")</f>
        <v>33732.0711918391</v>
      </c>
      <c r="G30" s="26" t="n">
        <f aca="false">IF(10&lt;=CEILING(C11,1),F30*C15,"")</f>
        <v>8732.07119183908</v>
      </c>
      <c r="H30" s="26" t="n">
        <f aca="false">IF(10&lt;=CEILING(C11,1),F30-G30,"")</f>
        <v>25000</v>
      </c>
    </row>
    <row r="31" customFormat="false" ht="15" hidden="false" customHeight="false" outlineLevel="0" collapsed="false">
      <c r="E31" s="23" t="str">
        <f aca="false">IF(11&lt;=CEILING(C11,1),11,"")</f>
        <v/>
      </c>
      <c r="F31" s="24" t="str">
        <f aca="false">IF(11&lt;=CEILING(C11,1),H30,"")</f>
        <v/>
      </c>
      <c r="G31" s="24" t="str">
        <f aca="false">IF(11&lt;=CEILING(C11,1),F31*C15,"")</f>
        <v/>
      </c>
      <c r="H31" s="24" t="str">
        <f aca="false">IF(11&lt;=CEILING(C11,1),F31-G31,"")</f>
        <v/>
      </c>
    </row>
    <row r="32" customFormat="false" ht="15" hidden="false" customHeight="false" outlineLevel="0" collapsed="false">
      <c r="E32" s="25" t="str">
        <f aca="false">IF(12&lt;=CEILING(C11,1),12,"")</f>
        <v/>
      </c>
      <c r="F32" s="26" t="str">
        <f aca="false">IF(12&lt;=CEILING(C11,1),H31,"")</f>
        <v/>
      </c>
      <c r="G32" s="26" t="str">
        <f aca="false">IF(12&lt;=CEILING(C11,1),F32*C15,"")</f>
        <v/>
      </c>
      <c r="H32" s="26" t="str">
        <f aca="false">IF(12&lt;=CEILING(C11,1),F32-G32,"")</f>
        <v/>
      </c>
    </row>
    <row r="33" customFormat="false" ht="15" hidden="false" customHeight="false" outlineLevel="0" collapsed="false">
      <c r="E33" s="23" t="str">
        <f aca="false">IF(13&lt;=CEILING(C11,1),13,"")</f>
        <v/>
      </c>
      <c r="F33" s="24" t="str">
        <f aca="false">IF(13&lt;=CEILING(C11,1),H32,"")</f>
        <v/>
      </c>
      <c r="G33" s="24" t="str">
        <f aca="false">IF(13&lt;=CEILING(C11,1),F33*C15,"")</f>
        <v/>
      </c>
      <c r="H33" s="24" t="str">
        <f aca="false">IF(13&lt;=CEILING(C11,1),F33-G33,"")</f>
        <v/>
      </c>
    </row>
    <row r="34" customFormat="false" ht="15" hidden="false" customHeight="false" outlineLevel="0" collapsed="false">
      <c r="E34" s="25" t="str">
        <f aca="false">IF(14&lt;=CEILING(C11,1),14,"")</f>
        <v/>
      </c>
      <c r="F34" s="26" t="str">
        <f aca="false">IF(14&lt;=CEILING(C11,1),H33,"")</f>
        <v/>
      </c>
      <c r="G34" s="26" t="str">
        <f aca="false">IF(14&lt;=CEILING(C11,1),F34*C15,"")</f>
        <v/>
      </c>
      <c r="H34" s="26" t="str">
        <f aca="false">IF(14&lt;=CEILING(C11,1),F34-G34,"")</f>
        <v/>
      </c>
    </row>
    <row r="35" customFormat="false" ht="15" hidden="false" customHeight="false" outlineLevel="0" collapsed="false">
      <c r="E35" s="23" t="str">
        <f aca="false">IF(15&lt;=CEILING(C11,1),15,"")</f>
        <v/>
      </c>
      <c r="F35" s="24" t="str">
        <f aca="false">IF(15&lt;=CEILING(C11,1),H34,"")</f>
        <v/>
      </c>
      <c r="G35" s="24" t="str">
        <f aca="false">IF(15&lt;=CEILING(C11,1),F35*C15,"")</f>
        <v/>
      </c>
      <c r="H35" s="24" t="str">
        <f aca="false">IF(15&lt;=CEILING(C11,1),F35-G35,"")</f>
        <v/>
      </c>
    </row>
    <row r="37" customFormat="false" ht="18" hidden="false" customHeight="true" outlineLevel="0" collapsed="false">
      <c r="A37" s="11" t="s">
        <v>15</v>
      </c>
      <c r="B37" s="11"/>
      <c r="C37" s="11"/>
      <c r="D37" s="11"/>
      <c r="E37" s="11"/>
      <c r="F37" s="11"/>
      <c r="G37" s="11"/>
      <c r="H37" s="11"/>
    </row>
  </sheetData>
  <sheetProtection sheet="true" password="bbbc" objects="true" scenarios="true"/>
  <mergeCells count="8">
    <mergeCell ref="A1:H1"/>
    <mergeCell ref="A2:H2"/>
    <mergeCell ref="A3:H3"/>
    <mergeCell ref="A4:H4"/>
    <mergeCell ref="A6:H6"/>
    <mergeCell ref="A14:H14"/>
    <mergeCell ref="A19:H19"/>
    <mergeCell ref="A37:H37"/>
  </mergeCells>
  <dataValidations count="1">
    <dataValidation allowBlank="false" error="Please pick an asset class from the dropdown" errorStyle="stop" errorTitle="Invalid Asset" operator="between" showDropDown="false" showErrorMessage="true" showInputMessage="false" sqref="C7" type="list">
      <formula1>AssetList</formula1>
      <formula2>0</formula2>
    </dataValidation>
  </dataValidations>
  <printOptions headings="false" gridLines="false" gridLinesSet="true" horizontalCentered="false" verticalCentered="false"/>
  <pageMargins left="0.75" right="0.75" top="1" bottom="1"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E26"/>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pane xSplit="1" ySplit="6" topLeftCell="B7" activePane="bottomRight" state="frozen"/>
      <selection pane="topLeft" activeCell="A1" activeCellId="0" sqref="A1"/>
      <selection pane="topRight" activeCell="B1" activeCellId="0" sqref="B1"/>
      <selection pane="bottomLeft" activeCell="A7" activeCellId="0" sqref="A7"/>
      <selection pane="bottomRight" activeCell="A1" activeCellId="0" sqref="A1"/>
    </sheetView>
  </sheetViews>
  <sheetFormatPr defaultColWidth="8.6796875" defaultRowHeight="15" customHeight="false" zeroHeight="false" outlineLevelRow="0" outlineLevelCol="0"/>
  <cols>
    <col collapsed="false" customWidth="true" hidden="false" outlineLevel="0" max="1" min="1" style="0" width="4"/>
    <col collapsed="false" customWidth="true" hidden="false" outlineLevel="0" max="2" min="2" style="0" width="52"/>
    <col collapsed="false" customWidth="true" hidden="false" outlineLevel="0" max="3" min="3" style="0" width="18"/>
    <col collapsed="false" customWidth="true" hidden="false" outlineLevel="0" max="4" min="4" style="0" width="20"/>
    <col collapsed="false" customWidth="true" hidden="false" outlineLevel="0" max="5" min="5" style="0" width="48"/>
    <col collapsed="false" customWidth="true" hidden="false" outlineLevel="0" max="6" min="6" style="0" width="4"/>
  </cols>
  <sheetData>
    <row r="1" customFormat="false" ht="25.5" hidden="false" customHeight="true" outlineLevel="0" collapsed="false">
      <c r="A1" s="1" t="s">
        <v>0</v>
      </c>
      <c r="B1" s="1"/>
      <c r="C1" s="1"/>
      <c r="D1" s="1"/>
      <c r="E1" s="1"/>
    </row>
    <row r="2" customFormat="false" ht="24" hidden="false" customHeight="true" outlineLevel="0" collapsed="false">
      <c r="A2" s="2" t="s">
        <v>66</v>
      </c>
      <c r="B2" s="2"/>
      <c r="C2" s="2"/>
      <c r="D2" s="2"/>
      <c r="E2" s="2"/>
    </row>
    <row r="3" customFormat="false" ht="18" hidden="false" customHeight="true" outlineLevel="0" collapsed="false">
      <c r="A3" s="3" t="s">
        <v>2</v>
      </c>
      <c r="B3" s="3"/>
      <c r="C3" s="3"/>
      <c r="D3" s="3"/>
      <c r="E3" s="3"/>
    </row>
    <row r="4" customFormat="false" ht="15.75" hidden="false" customHeight="true" outlineLevel="0" collapsed="false">
      <c r="A4" s="4" t="s">
        <v>67</v>
      </c>
      <c r="B4" s="4"/>
      <c r="C4" s="4"/>
      <c r="D4" s="4"/>
      <c r="E4" s="4"/>
    </row>
    <row r="6" customFormat="false" ht="24" hidden="false" customHeight="true" outlineLevel="0" collapsed="false">
      <c r="B6" s="22" t="s">
        <v>68</v>
      </c>
      <c r="C6" s="22" t="s">
        <v>69</v>
      </c>
      <c r="D6" s="22" t="s">
        <v>70</v>
      </c>
      <c r="E6" s="22" t="s">
        <v>71</v>
      </c>
    </row>
    <row r="7" customFormat="false" ht="25.5" hidden="false" customHeight="true" outlineLevel="0" collapsed="false">
      <c r="B7" s="32" t="s">
        <v>72</v>
      </c>
      <c r="C7" s="33" t="n">
        <v>5</v>
      </c>
      <c r="D7" s="34" t="n">
        <v>60</v>
      </c>
      <c r="E7" s="32" t="s">
        <v>73</v>
      </c>
    </row>
    <row r="8" customFormat="false" ht="25.5" hidden="false" customHeight="true" outlineLevel="0" collapsed="false">
      <c r="B8" s="35" t="s">
        <v>74</v>
      </c>
      <c r="C8" s="36" t="n">
        <v>10</v>
      </c>
      <c r="D8" s="37" t="n">
        <v>30</v>
      </c>
      <c r="E8" s="35" t="s">
        <v>75</v>
      </c>
    </row>
    <row r="9" customFormat="false" ht="25.5" hidden="false" customHeight="true" outlineLevel="0" collapsed="false">
      <c r="B9" s="32" t="s">
        <v>76</v>
      </c>
      <c r="C9" s="33" t="n">
        <v>40</v>
      </c>
      <c r="D9" s="34" t="n">
        <v>3</v>
      </c>
      <c r="E9" s="32" t="s">
        <v>77</v>
      </c>
    </row>
    <row r="10" customFormat="false" ht="25.5" hidden="false" customHeight="true" outlineLevel="0" collapsed="false">
      <c r="B10" s="35" t="s">
        <v>20</v>
      </c>
      <c r="C10" s="36" t="n">
        <v>15</v>
      </c>
      <c r="D10" s="37" t="n">
        <v>15</v>
      </c>
      <c r="E10" s="35" t="s">
        <v>78</v>
      </c>
    </row>
    <row r="11" customFormat="false" ht="25.5" hidden="false" customHeight="true" outlineLevel="0" collapsed="false">
      <c r="B11" s="32" t="s">
        <v>79</v>
      </c>
      <c r="C11" s="33" t="n">
        <v>15</v>
      </c>
      <c r="D11" s="34" t="n">
        <v>25</v>
      </c>
      <c r="E11" s="32" t="s">
        <v>80</v>
      </c>
    </row>
    <row r="12" customFormat="false" ht="25.5" hidden="false" customHeight="true" outlineLevel="0" collapsed="false">
      <c r="B12" s="35" t="s">
        <v>81</v>
      </c>
      <c r="C12" s="36" t="n">
        <v>15</v>
      </c>
      <c r="D12" s="37" t="n">
        <v>8</v>
      </c>
      <c r="E12" s="35" t="s">
        <v>82</v>
      </c>
    </row>
    <row r="13" customFormat="false" ht="25.5" hidden="false" customHeight="true" outlineLevel="0" collapsed="false">
      <c r="B13" s="32" t="s">
        <v>83</v>
      </c>
      <c r="C13" s="33" t="n">
        <v>30</v>
      </c>
      <c r="D13" s="34" t="n">
        <v>6</v>
      </c>
      <c r="E13" s="32" t="s">
        <v>84</v>
      </c>
    </row>
    <row r="14" customFormat="false" ht="25.5" hidden="false" customHeight="true" outlineLevel="0" collapsed="false">
      <c r="B14" s="35" t="s">
        <v>45</v>
      </c>
      <c r="C14" s="36" t="n">
        <v>40</v>
      </c>
      <c r="D14" s="37" t="n">
        <v>3</v>
      </c>
      <c r="E14" s="35" t="s">
        <v>85</v>
      </c>
    </row>
    <row r="15" customFormat="false" ht="25.5" hidden="false" customHeight="true" outlineLevel="0" collapsed="false">
      <c r="B15" s="32" t="s">
        <v>86</v>
      </c>
      <c r="C15" s="33" t="n">
        <v>40</v>
      </c>
      <c r="D15" s="34" t="n">
        <v>5</v>
      </c>
      <c r="E15" s="32" t="s">
        <v>87</v>
      </c>
    </row>
    <row r="16" customFormat="false" ht="25.5" hidden="false" customHeight="true" outlineLevel="0" collapsed="false">
      <c r="B16" s="35" t="s">
        <v>62</v>
      </c>
      <c r="C16" s="36" t="n">
        <v>10</v>
      </c>
      <c r="D16" s="37" t="n">
        <v>10</v>
      </c>
      <c r="E16" s="35" t="s">
        <v>88</v>
      </c>
    </row>
    <row r="17" customFormat="false" ht="25.5" hidden="false" customHeight="true" outlineLevel="0" collapsed="false">
      <c r="B17" s="32" t="s">
        <v>89</v>
      </c>
      <c r="C17" s="33" t="n">
        <v>15</v>
      </c>
      <c r="D17" s="34" t="n">
        <v>5</v>
      </c>
      <c r="E17" s="32" t="s">
        <v>90</v>
      </c>
    </row>
    <row r="18" customFormat="false" ht="25.5" hidden="false" customHeight="true" outlineLevel="0" collapsed="false">
      <c r="B18" s="35" t="s">
        <v>91</v>
      </c>
      <c r="C18" s="36" t="n">
        <v>10</v>
      </c>
      <c r="D18" s="37" t="n">
        <v>10</v>
      </c>
      <c r="E18" s="35" t="s">
        <v>92</v>
      </c>
    </row>
    <row r="19" customFormat="false" ht="25.5" hidden="false" customHeight="true" outlineLevel="0" collapsed="false">
      <c r="B19" s="32" t="s">
        <v>93</v>
      </c>
      <c r="C19" s="33" t="n">
        <v>40</v>
      </c>
      <c r="D19" s="34" t="n">
        <v>3</v>
      </c>
      <c r="E19" s="32" t="s">
        <v>94</v>
      </c>
    </row>
    <row r="20" customFormat="false" ht="25.5" hidden="false" customHeight="true" outlineLevel="0" collapsed="false">
      <c r="B20" s="35" t="s">
        <v>95</v>
      </c>
      <c r="C20" s="36" t="n">
        <v>20</v>
      </c>
      <c r="D20" s="37" t="n">
        <v>14</v>
      </c>
      <c r="E20" s="35" t="s">
        <v>96</v>
      </c>
    </row>
    <row r="21" customFormat="false" ht="25.5" hidden="false" customHeight="true" outlineLevel="0" collapsed="false">
      <c r="B21" s="32" t="s">
        <v>97</v>
      </c>
      <c r="C21" s="33" t="n">
        <v>40</v>
      </c>
      <c r="D21" s="34" t="n">
        <v>20</v>
      </c>
      <c r="E21" s="32" t="s">
        <v>98</v>
      </c>
    </row>
    <row r="22" customFormat="false" ht="25.5" hidden="false" customHeight="true" outlineLevel="0" collapsed="false">
      <c r="B22" s="35" t="s">
        <v>99</v>
      </c>
      <c r="C22" s="36" t="n">
        <v>25</v>
      </c>
      <c r="D22" s="37" t="n">
        <v>10</v>
      </c>
      <c r="E22" s="35" t="s">
        <v>100</v>
      </c>
    </row>
    <row r="23" customFormat="false" ht="25.5" hidden="false" customHeight="true" outlineLevel="0" collapsed="false">
      <c r="B23" s="32" t="s">
        <v>101</v>
      </c>
      <c r="C23" s="33" t="n">
        <v>40</v>
      </c>
      <c r="D23" s="34" t="n">
        <v>5</v>
      </c>
      <c r="E23" s="32" t="s">
        <v>102</v>
      </c>
    </row>
    <row r="24" customFormat="false" ht="25.5" hidden="false" customHeight="true" outlineLevel="0" collapsed="false">
      <c r="B24" s="35" t="s">
        <v>103</v>
      </c>
      <c r="C24" s="36" t="n">
        <v>40</v>
      </c>
      <c r="D24" s="37" t="n">
        <v>8</v>
      </c>
      <c r="E24" s="35" t="s">
        <v>104</v>
      </c>
    </row>
    <row r="26" customFormat="false" ht="18" hidden="false" customHeight="true" outlineLevel="0" collapsed="false">
      <c r="A26" s="11" t="s">
        <v>15</v>
      </c>
      <c r="B26" s="11"/>
      <c r="C26" s="11"/>
      <c r="D26" s="11"/>
      <c r="E26" s="11"/>
    </row>
  </sheetData>
  <sheetProtection sheet="true" password="bbbc" objects="true" scenarios="true" autoFilter="false"/>
  <mergeCells count="5">
    <mergeCell ref="A1:E1"/>
    <mergeCell ref="A2:E2"/>
    <mergeCell ref="A3:E3"/>
    <mergeCell ref="A4:E4"/>
    <mergeCell ref="A26:E26"/>
  </mergeCells>
  <printOptions headings="false" gridLines="false" gridLinesSet="true" horizontalCentered="false" verticalCentered="false"/>
  <pageMargins left="0.75" right="0.75" top="1" bottom="1"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docProps/app.xml><?xml version="1.0" encoding="utf-8"?>
<Properties xmlns="http://schemas.openxmlformats.org/officeDocument/2006/extended-properties" xmlns:vt="http://schemas.openxmlformats.org/officeDocument/2006/docPropsVTypes">
  <Template/>
  <TotalTime>0</TotalTime>
  <Application>LibreOffice/26.2.2.2$Linux_X86_64 LibreOffice_project/620$Build-2</Application>
  <AppVersion>15.0000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2026-04-20T07:23:27Z</dcterms:created>
  <dc:creator>openpyxl</dc:creator>
  <dc:description/>
  <dc:language>en-US</dc:language>
  <cp:lastModifiedBy/>
  <dcterms:modified xsi:type="dcterms:W3CDTF">2026-04-20T07:23:28Z</dcterms:modified>
  <cp:revision>0</cp:revision>
  <dc:subject/>
  <dc:title/>
</cp:coreProperties>
</file>

<file path=docProps/custom.xml><?xml version="1.0" encoding="utf-8"?>
<Properties xmlns="http://schemas.openxmlformats.org/officeDocument/2006/custom-properties" xmlns:vt="http://schemas.openxmlformats.org/officeDocument/2006/docPropsVTypes"/>
</file>