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H:\Claude\Website Development\calcguru-excel-utilities\"/>
    </mc:Choice>
  </mc:AlternateContent>
  <xr:revisionPtr revIDLastSave="0" documentId="13_ncr:1_{523EA650-DEA7-4FEE-A7CD-D8F0DE769BBE}" xr6:coauthVersionLast="47" xr6:coauthVersionMax="47" xr10:uidLastSave="{00000000-0000-0000-0000-000000000000}"/>
  <bookViews>
    <workbookView xWindow="-120" yWindow="-120" windowWidth="29040" windowHeight="15840" tabRatio="500" activeTab="2" xr2:uid="{00000000-000D-0000-FFFF-FFFF00000000}"/>
  </bookViews>
  <sheets>
    <sheet name="Cover" sheetId="1" r:id="rId1"/>
    <sheet name="FD Calculator" sheetId="2" r:id="rId2"/>
    <sheet name="RD Calculator" sheetId="3" r:id="rId3"/>
  </sheet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H140" i="3" l="1"/>
  <c r="G140" i="3"/>
  <c r="F140" i="3"/>
  <c r="E140" i="3"/>
  <c r="H139" i="3"/>
  <c r="G139" i="3"/>
  <c r="F139" i="3"/>
  <c r="E139" i="3"/>
  <c r="H138" i="3"/>
  <c r="G138" i="3"/>
  <c r="F138" i="3"/>
  <c r="E138" i="3"/>
  <c r="H137" i="3"/>
  <c r="G137" i="3"/>
  <c r="F137" i="3"/>
  <c r="E137" i="3"/>
  <c r="H136" i="3"/>
  <c r="G136" i="3"/>
  <c r="F136" i="3"/>
  <c r="E136" i="3"/>
  <c r="H135" i="3"/>
  <c r="G135" i="3"/>
  <c r="F135" i="3"/>
  <c r="E135" i="3"/>
  <c r="H134" i="3"/>
  <c r="G134" i="3"/>
  <c r="F134" i="3"/>
  <c r="E134" i="3"/>
  <c r="H133" i="3"/>
  <c r="G133" i="3"/>
  <c r="F133" i="3"/>
  <c r="E133" i="3"/>
  <c r="H132" i="3"/>
  <c r="G132" i="3"/>
  <c r="F132" i="3"/>
  <c r="E132" i="3"/>
  <c r="H131" i="3"/>
  <c r="G131" i="3"/>
  <c r="F131" i="3"/>
  <c r="E131" i="3"/>
  <c r="H130" i="3"/>
  <c r="G130" i="3"/>
  <c r="F130" i="3"/>
  <c r="E130" i="3"/>
  <c r="H129" i="3"/>
  <c r="G129" i="3"/>
  <c r="F129" i="3"/>
  <c r="E129" i="3"/>
  <c r="H128" i="3"/>
  <c r="G128" i="3"/>
  <c r="F128" i="3"/>
  <c r="E128" i="3"/>
  <c r="H127" i="3"/>
  <c r="G127" i="3"/>
  <c r="F127" i="3"/>
  <c r="E127" i="3"/>
  <c r="H126" i="3"/>
  <c r="G126" i="3"/>
  <c r="F126" i="3"/>
  <c r="E126" i="3"/>
  <c r="H125" i="3"/>
  <c r="G125" i="3"/>
  <c r="F125" i="3"/>
  <c r="E125" i="3"/>
  <c r="H124" i="3"/>
  <c r="G124" i="3"/>
  <c r="F124" i="3"/>
  <c r="E124" i="3"/>
  <c r="H123" i="3"/>
  <c r="G123" i="3"/>
  <c r="F123" i="3"/>
  <c r="E123" i="3"/>
  <c r="H122" i="3"/>
  <c r="G122" i="3"/>
  <c r="F122" i="3"/>
  <c r="E122" i="3"/>
  <c r="H121" i="3"/>
  <c r="G121" i="3"/>
  <c r="F121" i="3"/>
  <c r="E121" i="3"/>
  <c r="H120" i="3"/>
  <c r="G120" i="3"/>
  <c r="F120" i="3"/>
  <c r="E120" i="3"/>
  <c r="H119" i="3"/>
  <c r="G119" i="3"/>
  <c r="F119" i="3"/>
  <c r="E119" i="3"/>
  <c r="H118" i="3"/>
  <c r="G118" i="3"/>
  <c r="F118" i="3"/>
  <c r="E118" i="3"/>
  <c r="H117" i="3"/>
  <c r="G117" i="3"/>
  <c r="F117" i="3"/>
  <c r="E117" i="3"/>
  <c r="H116" i="3"/>
  <c r="G116" i="3"/>
  <c r="F116" i="3"/>
  <c r="E116" i="3"/>
  <c r="H115" i="3"/>
  <c r="G115" i="3"/>
  <c r="F115" i="3"/>
  <c r="E115" i="3"/>
  <c r="H114" i="3"/>
  <c r="G114" i="3"/>
  <c r="F114" i="3"/>
  <c r="E114" i="3"/>
  <c r="H113" i="3"/>
  <c r="G113" i="3"/>
  <c r="F113" i="3"/>
  <c r="E113" i="3"/>
  <c r="H112" i="3"/>
  <c r="G112" i="3"/>
  <c r="F112" i="3"/>
  <c r="E112" i="3"/>
  <c r="H111" i="3"/>
  <c r="G111" i="3"/>
  <c r="F111" i="3"/>
  <c r="E111" i="3"/>
  <c r="H110" i="3"/>
  <c r="G110" i="3"/>
  <c r="F110" i="3"/>
  <c r="E110" i="3"/>
  <c r="H109" i="3"/>
  <c r="G109" i="3"/>
  <c r="F109" i="3"/>
  <c r="E109" i="3"/>
  <c r="H108" i="3"/>
  <c r="G108" i="3"/>
  <c r="F108" i="3"/>
  <c r="E108" i="3"/>
  <c r="H107" i="3"/>
  <c r="G107" i="3"/>
  <c r="F107" i="3"/>
  <c r="E107" i="3"/>
  <c r="H106" i="3"/>
  <c r="G106" i="3"/>
  <c r="F106" i="3"/>
  <c r="E106" i="3"/>
  <c r="H105" i="3"/>
  <c r="G105" i="3"/>
  <c r="F105" i="3"/>
  <c r="E105" i="3"/>
  <c r="H104" i="3"/>
  <c r="G104" i="3"/>
  <c r="F104" i="3"/>
  <c r="E104" i="3"/>
  <c r="H103" i="3"/>
  <c r="G103" i="3"/>
  <c r="F103" i="3"/>
  <c r="E103" i="3"/>
  <c r="H102" i="3"/>
  <c r="G102" i="3"/>
  <c r="F102" i="3"/>
  <c r="E102" i="3"/>
  <c r="H101" i="3"/>
  <c r="G101" i="3"/>
  <c r="F101" i="3"/>
  <c r="E101" i="3"/>
  <c r="H100" i="3"/>
  <c r="G100" i="3"/>
  <c r="F100" i="3"/>
  <c r="E100" i="3"/>
  <c r="H99" i="3"/>
  <c r="G99" i="3"/>
  <c r="F99" i="3"/>
  <c r="E99" i="3"/>
  <c r="H98" i="3"/>
  <c r="G98" i="3"/>
  <c r="F98" i="3"/>
  <c r="E98" i="3"/>
  <c r="H97" i="3"/>
  <c r="G97" i="3"/>
  <c r="F97" i="3"/>
  <c r="E97" i="3"/>
  <c r="H96" i="3"/>
  <c r="G96" i="3"/>
  <c r="F96" i="3"/>
  <c r="E96" i="3"/>
  <c r="H95" i="3"/>
  <c r="G95" i="3"/>
  <c r="F95" i="3"/>
  <c r="E95" i="3"/>
  <c r="H94" i="3"/>
  <c r="G94" i="3"/>
  <c r="F94" i="3"/>
  <c r="E94" i="3"/>
  <c r="H93" i="3"/>
  <c r="G93" i="3"/>
  <c r="F93" i="3"/>
  <c r="E93" i="3"/>
  <c r="H92" i="3"/>
  <c r="G92" i="3"/>
  <c r="F92" i="3"/>
  <c r="E92" i="3"/>
  <c r="H91" i="3"/>
  <c r="G91" i="3"/>
  <c r="F91" i="3"/>
  <c r="E91" i="3"/>
  <c r="H90" i="3"/>
  <c r="G90" i="3"/>
  <c r="F90" i="3"/>
  <c r="E90" i="3"/>
  <c r="H89" i="3"/>
  <c r="G89" i="3"/>
  <c r="F89" i="3"/>
  <c r="E89" i="3"/>
  <c r="H88" i="3"/>
  <c r="G88" i="3"/>
  <c r="F88" i="3"/>
  <c r="E88" i="3"/>
  <c r="H87" i="3"/>
  <c r="G87" i="3"/>
  <c r="F87" i="3"/>
  <c r="E87" i="3"/>
  <c r="H86" i="3"/>
  <c r="G86" i="3"/>
  <c r="F86" i="3"/>
  <c r="E86" i="3"/>
  <c r="H85" i="3"/>
  <c r="G85" i="3"/>
  <c r="F85" i="3"/>
  <c r="E85" i="3"/>
  <c r="H84" i="3"/>
  <c r="G84" i="3"/>
  <c r="F84" i="3"/>
  <c r="E84" i="3"/>
  <c r="H83" i="3"/>
  <c r="G83" i="3"/>
  <c r="F83" i="3"/>
  <c r="E83" i="3"/>
  <c r="H82" i="3"/>
  <c r="G82" i="3"/>
  <c r="F82" i="3"/>
  <c r="E82" i="3"/>
  <c r="H81" i="3"/>
  <c r="G81" i="3"/>
  <c r="F81" i="3"/>
  <c r="E81" i="3"/>
  <c r="F80" i="3"/>
  <c r="E80" i="3"/>
  <c r="F79" i="3"/>
  <c r="E79" i="3"/>
  <c r="F78" i="3"/>
  <c r="E78" i="3"/>
  <c r="F77" i="3"/>
  <c r="E77" i="3"/>
  <c r="F76" i="3"/>
  <c r="E76" i="3"/>
  <c r="F75" i="3"/>
  <c r="E75" i="3"/>
  <c r="F74" i="3"/>
  <c r="E74" i="3"/>
  <c r="F73" i="3"/>
  <c r="E73" i="3"/>
  <c r="F72" i="3"/>
  <c r="E72" i="3"/>
  <c r="F71" i="3"/>
  <c r="E71" i="3"/>
  <c r="F70" i="3"/>
  <c r="E70" i="3"/>
  <c r="F69" i="3"/>
  <c r="E69" i="3"/>
  <c r="F68" i="3"/>
  <c r="E68" i="3"/>
  <c r="F67" i="3"/>
  <c r="E67" i="3"/>
  <c r="F66" i="3"/>
  <c r="E66" i="3"/>
  <c r="F65" i="3"/>
  <c r="E65" i="3"/>
  <c r="F64" i="3"/>
  <c r="E64" i="3"/>
  <c r="F63" i="3"/>
  <c r="E63" i="3"/>
  <c r="F62" i="3"/>
  <c r="E62" i="3"/>
  <c r="F61" i="3"/>
  <c r="E61" i="3"/>
  <c r="F60" i="3"/>
  <c r="E60" i="3"/>
  <c r="F59" i="3"/>
  <c r="E59" i="3"/>
  <c r="F58" i="3"/>
  <c r="E58" i="3"/>
  <c r="F57" i="3"/>
  <c r="E57" i="3"/>
  <c r="F56" i="3"/>
  <c r="E56" i="3"/>
  <c r="F55" i="3"/>
  <c r="E55" i="3"/>
  <c r="F54" i="3"/>
  <c r="E54" i="3"/>
  <c r="F53" i="3"/>
  <c r="E53" i="3"/>
  <c r="F52" i="3"/>
  <c r="E52" i="3"/>
  <c r="F51" i="3"/>
  <c r="E51" i="3"/>
  <c r="F50" i="3"/>
  <c r="E50" i="3"/>
  <c r="F49" i="3"/>
  <c r="E49" i="3"/>
  <c r="F48" i="3"/>
  <c r="E48" i="3"/>
  <c r="F47" i="3"/>
  <c r="E47" i="3"/>
  <c r="F46" i="3"/>
  <c r="E46" i="3"/>
  <c r="F45" i="3"/>
  <c r="E45" i="3"/>
  <c r="F44" i="3"/>
  <c r="E44" i="3"/>
  <c r="F43" i="3"/>
  <c r="E43" i="3"/>
  <c r="F42" i="3"/>
  <c r="E42" i="3"/>
  <c r="F41" i="3"/>
  <c r="E41" i="3"/>
  <c r="F40" i="3"/>
  <c r="E40" i="3"/>
  <c r="F39" i="3"/>
  <c r="E39" i="3"/>
  <c r="F38" i="3"/>
  <c r="E38" i="3"/>
  <c r="F37" i="3"/>
  <c r="E37" i="3"/>
  <c r="F36" i="3"/>
  <c r="E36" i="3"/>
  <c r="F35" i="3"/>
  <c r="E35" i="3"/>
  <c r="F34" i="3"/>
  <c r="E34" i="3"/>
  <c r="F33" i="3"/>
  <c r="E33" i="3"/>
  <c r="F32" i="3"/>
  <c r="E32" i="3"/>
  <c r="F31" i="3"/>
  <c r="E31" i="3"/>
  <c r="F30" i="3"/>
  <c r="E30" i="3"/>
  <c r="F29" i="3"/>
  <c r="E29" i="3"/>
  <c r="F28" i="3"/>
  <c r="E28" i="3"/>
  <c r="F27" i="3"/>
  <c r="E27" i="3"/>
  <c r="F26" i="3"/>
  <c r="E26" i="3"/>
  <c r="F25" i="3"/>
  <c r="E25" i="3"/>
  <c r="F24" i="3"/>
  <c r="E24" i="3"/>
  <c r="F23" i="3"/>
  <c r="E23" i="3"/>
  <c r="F22" i="3"/>
  <c r="E22" i="3"/>
  <c r="G21" i="3"/>
  <c r="F21" i="3"/>
  <c r="H21" i="3" s="1"/>
  <c r="E21" i="3"/>
  <c r="C14" i="3"/>
  <c r="C12" i="3"/>
  <c r="C13" i="3" s="1"/>
  <c r="C15" i="3" s="1"/>
  <c r="H52" i="2"/>
  <c r="G52" i="2"/>
  <c r="F52" i="2"/>
  <c r="E52" i="2"/>
  <c r="H51" i="2"/>
  <c r="G51" i="2"/>
  <c r="F51" i="2"/>
  <c r="E51" i="2"/>
  <c r="H50" i="2"/>
  <c r="G50" i="2"/>
  <c r="F50" i="2"/>
  <c r="E50" i="2"/>
  <c r="H49" i="2"/>
  <c r="G49" i="2"/>
  <c r="F49" i="2"/>
  <c r="E49" i="2"/>
  <c r="H48" i="2"/>
  <c r="G48" i="2"/>
  <c r="F48" i="2"/>
  <c r="E48" i="2"/>
  <c r="H47" i="2"/>
  <c r="G47" i="2"/>
  <c r="F47" i="2"/>
  <c r="E47" i="2"/>
  <c r="H46" i="2"/>
  <c r="G46" i="2"/>
  <c r="F46" i="2"/>
  <c r="E46" i="2"/>
  <c r="H45" i="2"/>
  <c r="G45" i="2"/>
  <c r="F45" i="2"/>
  <c r="E45" i="2"/>
  <c r="H44" i="2"/>
  <c r="G44" i="2"/>
  <c r="F44" i="2"/>
  <c r="E44" i="2"/>
  <c r="H43" i="2"/>
  <c r="G43" i="2"/>
  <c r="F43" i="2"/>
  <c r="E43" i="2"/>
  <c r="H42" i="2"/>
  <c r="G42" i="2"/>
  <c r="F42" i="2"/>
  <c r="E42" i="2"/>
  <c r="H41" i="2"/>
  <c r="G41" i="2"/>
  <c r="F41" i="2"/>
  <c r="E41" i="2"/>
  <c r="H40" i="2"/>
  <c r="G40" i="2"/>
  <c r="F40" i="2"/>
  <c r="E40" i="2"/>
  <c r="H39" i="2"/>
  <c r="G39" i="2"/>
  <c r="F39" i="2"/>
  <c r="E39" i="2"/>
  <c r="H38" i="2"/>
  <c r="G38" i="2"/>
  <c r="F38" i="2"/>
  <c r="E38" i="2"/>
  <c r="H37" i="2"/>
  <c r="G37" i="2"/>
  <c r="F37" i="2"/>
  <c r="E37" i="2"/>
  <c r="H36" i="2"/>
  <c r="G36" i="2"/>
  <c r="F36" i="2"/>
  <c r="E36" i="2"/>
  <c r="H35" i="2"/>
  <c r="G35" i="2"/>
  <c r="F35" i="2"/>
  <c r="E35" i="2"/>
  <c r="H34" i="2"/>
  <c r="G34" i="2"/>
  <c r="F34" i="2"/>
  <c r="E34" i="2"/>
  <c r="H33" i="2"/>
  <c r="G33" i="2"/>
  <c r="F33" i="2"/>
  <c r="E33" i="2"/>
  <c r="E32" i="2"/>
  <c r="E31" i="2"/>
  <c r="E30" i="2"/>
  <c r="E29" i="2"/>
  <c r="E28" i="2"/>
  <c r="E27" i="2"/>
  <c r="E26" i="2"/>
  <c r="E25" i="2"/>
  <c r="E24" i="2"/>
  <c r="F23" i="2"/>
  <c r="E23" i="2"/>
  <c r="C15" i="2"/>
  <c r="C14" i="2"/>
  <c r="C16" i="2" s="1"/>
  <c r="C11" i="2"/>
  <c r="H22" i="3" l="1"/>
  <c r="G22" i="3"/>
  <c r="C17" i="2"/>
  <c r="C19" i="2" s="1"/>
  <c r="C18" i="2"/>
  <c r="C17" i="3"/>
  <c r="C16" i="3"/>
  <c r="H23" i="2"/>
  <c r="F24" i="2" l="1"/>
  <c r="H24" i="2" s="1"/>
  <c r="G23" i="2"/>
  <c r="H23" i="3"/>
  <c r="G23" i="3"/>
  <c r="H24" i="3" l="1"/>
  <c r="G24" i="3"/>
  <c r="F25" i="2"/>
  <c r="H25" i="2" s="1"/>
  <c r="G24" i="2"/>
  <c r="F26" i="2" l="1"/>
  <c r="H26" i="2" s="1"/>
  <c r="G25" i="2"/>
  <c r="H25" i="3"/>
  <c r="G25" i="3"/>
  <c r="H26" i="3" l="1"/>
  <c r="G26" i="3"/>
  <c r="F27" i="2"/>
  <c r="H27" i="2" s="1"/>
  <c r="G26" i="2"/>
  <c r="G27" i="2" l="1"/>
  <c r="F28" i="2"/>
  <c r="H28" i="2" s="1"/>
  <c r="H27" i="3"/>
  <c r="G27" i="3"/>
  <c r="F29" i="2" l="1"/>
  <c r="H29" i="2" s="1"/>
  <c r="G28" i="2"/>
  <c r="H28" i="3"/>
  <c r="G28" i="3"/>
  <c r="F30" i="2" l="1"/>
  <c r="H30" i="2" s="1"/>
  <c r="G29" i="2"/>
  <c r="H29" i="3"/>
  <c r="G29" i="3"/>
  <c r="F31" i="2" l="1"/>
  <c r="H31" i="2" s="1"/>
  <c r="G30" i="2"/>
  <c r="H30" i="3"/>
  <c r="G30" i="3"/>
  <c r="F32" i="2" l="1"/>
  <c r="H32" i="2" s="1"/>
  <c r="G32" i="2" s="1"/>
  <c r="G31" i="2"/>
  <c r="H31" i="3"/>
  <c r="G31" i="3"/>
  <c r="H32" i="3" l="1"/>
  <c r="G32" i="3"/>
  <c r="H33" i="3" l="1"/>
  <c r="G33" i="3"/>
  <c r="H34" i="3" l="1"/>
  <c r="G34" i="3"/>
  <c r="H35" i="3" l="1"/>
  <c r="G35" i="3"/>
  <c r="H36" i="3" l="1"/>
  <c r="G36" i="3"/>
  <c r="H37" i="3" l="1"/>
  <c r="G37" i="3"/>
  <c r="H38" i="3" l="1"/>
  <c r="G38" i="3"/>
  <c r="H39" i="3" l="1"/>
  <c r="G39" i="3"/>
  <c r="H40" i="3" l="1"/>
  <c r="G40" i="3"/>
  <c r="H41" i="3" l="1"/>
  <c r="G41" i="3"/>
  <c r="H42" i="3" l="1"/>
  <c r="G42" i="3"/>
  <c r="H43" i="3" l="1"/>
  <c r="G43" i="3"/>
  <c r="H44" i="3" l="1"/>
  <c r="G44" i="3"/>
  <c r="H45" i="3" l="1"/>
  <c r="G45" i="3"/>
  <c r="H46" i="3" l="1"/>
  <c r="G46" i="3"/>
  <c r="H47" i="3" l="1"/>
  <c r="G47" i="3"/>
  <c r="H48" i="3" l="1"/>
  <c r="G48" i="3"/>
  <c r="H49" i="3" l="1"/>
  <c r="G49" i="3"/>
  <c r="H50" i="3" l="1"/>
  <c r="G50" i="3"/>
  <c r="H51" i="3" l="1"/>
  <c r="G51" i="3"/>
  <c r="H52" i="3" l="1"/>
  <c r="G52" i="3"/>
  <c r="H53" i="3" l="1"/>
  <c r="G53" i="3"/>
  <c r="H54" i="3" l="1"/>
  <c r="G54" i="3"/>
  <c r="H55" i="3" l="1"/>
  <c r="G55" i="3"/>
  <c r="H56" i="3" l="1"/>
  <c r="G56" i="3"/>
  <c r="H57" i="3" l="1"/>
  <c r="G57" i="3"/>
  <c r="H58" i="3" l="1"/>
  <c r="G58" i="3"/>
  <c r="H59" i="3" l="1"/>
  <c r="G59" i="3"/>
  <c r="H60" i="3" l="1"/>
  <c r="G60" i="3"/>
  <c r="H61" i="3" l="1"/>
  <c r="G61" i="3"/>
  <c r="H62" i="3" l="1"/>
  <c r="G62" i="3"/>
  <c r="H63" i="3" l="1"/>
  <c r="G63" i="3"/>
  <c r="H64" i="3" l="1"/>
  <c r="G64" i="3"/>
  <c r="H65" i="3" l="1"/>
  <c r="G65" i="3"/>
  <c r="H66" i="3" l="1"/>
  <c r="G66" i="3"/>
  <c r="H67" i="3" l="1"/>
  <c r="G67" i="3"/>
  <c r="H68" i="3" l="1"/>
  <c r="G68" i="3"/>
  <c r="H69" i="3" l="1"/>
  <c r="G69" i="3"/>
  <c r="H70" i="3" l="1"/>
  <c r="G70" i="3"/>
  <c r="H71" i="3" l="1"/>
  <c r="G71" i="3"/>
  <c r="H72" i="3" l="1"/>
  <c r="G72" i="3"/>
  <c r="H73" i="3" l="1"/>
  <c r="G73" i="3"/>
  <c r="H74" i="3" l="1"/>
  <c r="G74" i="3"/>
  <c r="H75" i="3" l="1"/>
  <c r="G75" i="3"/>
  <c r="H76" i="3" l="1"/>
  <c r="G76" i="3"/>
  <c r="H77" i="3" l="1"/>
  <c r="G77" i="3"/>
  <c r="H78" i="3" l="1"/>
  <c r="G78" i="3"/>
  <c r="H79" i="3" l="1"/>
  <c r="G79" i="3"/>
  <c r="H80" i="3" l="1"/>
  <c r="G80" i="3"/>
</calcChain>
</file>

<file path=xl/sharedStrings.xml><?xml version="1.0" encoding="utf-8"?>
<sst xmlns="http://schemas.openxmlformats.org/spreadsheetml/2006/main" count="57" uniqueCount="45">
  <si>
    <t>CALC GURU  |  calcguru.in</t>
  </si>
  <si>
    <t>FD &amp; RD Maturity Calculator</t>
  </si>
  <si>
    <t>Prepared by CA Tirumalesh Malla  |  https://calcguru.in</t>
  </si>
  <si>
    <t>Fixed Deposit + Recurring Deposit — quarterly compounding (bank standard)</t>
  </si>
  <si>
    <t>About this utility</t>
  </si>
  <si>
    <t>Enter the principal / monthly deposit, interest rate and tenure on the respective sheet. The workbook computes maturity amount, interest earned and a year-wise growth table using quarterly compounding — the standard convention followed by Indian banks and Post Office for FDs and RDs.</t>
  </si>
  <si>
    <t>Key Formulas Used</t>
  </si>
  <si>
    <t>FD Maturity  =  P × (1 + R/4)^(4 × n)    where R = annual rate, n = years</t>
  </si>
  <si>
    <t>RD Maturity  =  Σ  M × (1 + R/4)^((4 × n × (k/N)))     (quarterly compounding on each instalment)</t>
  </si>
  <si>
    <t>Disclaimer</t>
  </si>
  <si>
    <t>Banks may use slightly different conventions (day-count, compounding on calendar quarter vs deposit quarter, TDS deduction timing). Figures here are indicative and should be reconciled against your bank's FDR / passbook. TDS @10% (or 20% without PAN) applies if interest exceeds ₹40,000 (₹50,000 for senior citizens) in a financial year.</t>
  </si>
  <si>
    <t>Calc Guru  |  Prepared by CA Tirumalesh Malla  |  calcguru.in    —    For indicative estimation only. Verify before filing or transacting.</t>
  </si>
  <si>
    <t>Fixed Deposit Maturity Calculator</t>
  </si>
  <si>
    <t>Quarterly compounding — enter values in yellow cells only</t>
  </si>
  <si>
    <t>FD Inputs</t>
  </si>
  <si>
    <t>Principal Amount (₹)</t>
  </si>
  <si>
    <t>Annual Interest Rate (%)</t>
  </si>
  <si>
    <t>Tenure (Years)</t>
  </si>
  <si>
    <t>Senior Citizen?  (Yes / No)</t>
  </si>
  <si>
    <t>No</t>
  </si>
  <si>
    <t>TDS Threshold (₹)</t>
  </si>
  <si>
    <t>Maturity Results</t>
  </si>
  <si>
    <t>Quarterly Rate</t>
  </si>
  <si>
    <t>Number of Compounding Periods</t>
  </si>
  <si>
    <t>Maturity Amount (₹)</t>
  </si>
  <si>
    <t>Interest Earned (₹)</t>
  </si>
  <si>
    <t>Annualised Yield (CAGR)</t>
  </si>
  <si>
    <t>Is TDS applicable? (per year)</t>
  </si>
  <si>
    <t>Year-wise Growth Table</t>
  </si>
  <si>
    <t>Year</t>
  </si>
  <si>
    <t>Opening (₹)</t>
  </si>
  <si>
    <t>Interest (₹)</t>
  </si>
  <si>
    <t>Closing (₹)</t>
  </si>
  <si>
    <t>Recurring Deposit Maturity Calculator</t>
  </si>
  <si>
    <t>Monthly instalment compounded quarterly — bank/post-office convention</t>
  </si>
  <si>
    <t>RD Inputs</t>
  </si>
  <si>
    <t>Monthly Instalment (₹)</t>
  </si>
  <si>
    <t>Tenure (Months)</t>
  </si>
  <si>
    <t>Monthly Compounding Factor (q = (1+R/4)^(1/3))</t>
  </si>
  <si>
    <t>Total Deposited (₹)</t>
  </si>
  <si>
    <t>Annualised Yield</t>
  </si>
  <si>
    <t>Month-wise Accumulation</t>
  </si>
  <si>
    <t>Month #</t>
  </si>
  <si>
    <t>Deposit (₹)</t>
  </si>
  <si>
    <t>Balance (₹)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</si>
</sst>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\₹#,##0"/>
    <numFmt numFmtId="165" formatCode="0.00\%"/>
    <numFmt numFmtId="166" formatCode="0.0"/>
    <numFmt numFmtId="167" formatCode="0.0000%"/>
    <numFmt numFmtId="168" formatCode="\₹#,##0.00"/>
    <numFmt numFmtId="169" formatCode="0.00000000"/>
  </numFmts>
  <fonts count="16" x14ac:knownFonts="1">
    <font>
      <sz val="11"/>
      <color theme="1"/>
      <name val="Calibri"/>
      <family val="2"/>
      <charset val="1"/>
    </font>
    <font>
      <b/>
      <sz val="14"/>
      <color rgb="FFFFFFFF"/>
      <name val="Calibri"/>
      <charset val="1"/>
    </font>
    <font>
      <b/>
      <sz val="16"/>
      <color rgb="FF1E3A8A"/>
      <name val="Calibri"/>
      <charset val="1"/>
    </font>
    <font>
      <i/>
      <sz val="10"/>
      <color rgb="FF64748B"/>
      <name val="Calibri"/>
      <charset val="1"/>
    </font>
    <font>
      <i/>
      <sz val="10"/>
      <color rgb="FFF97316"/>
      <name val="Calibri"/>
      <charset val="1"/>
    </font>
    <font>
      <b/>
      <sz val="13"/>
      <color rgb="FF1E3A8A"/>
      <name val="Calibri"/>
      <charset val="1"/>
    </font>
    <font>
      <sz val="11"/>
      <name val="Calibri"/>
      <charset val="1"/>
    </font>
    <font>
      <i/>
      <sz val="11"/>
      <color rgb="FF1E3A8A"/>
      <name val="Calibri"/>
      <charset val="1"/>
    </font>
    <font>
      <b/>
      <sz val="12"/>
      <color rgb="FFFFFFFF"/>
      <name val="Calibri"/>
      <charset val="1"/>
    </font>
    <font>
      <i/>
      <sz val="9"/>
      <color rgb="FF64748B"/>
      <name val="Calibri"/>
      <charset val="1"/>
    </font>
    <font>
      <b/>
      <sz val="11"/>
      <color rgb="FF000000"/>
      <name val="Calibri"/>
      <charset val="1"/>
    </font>
    <font>
      <b/>
      <sz val="11"/>
      <color rgb="FF0000FF"/>
      <name val="Calibri"/>
      <charset val="1"/>
    </font>
    <font>
      <sz val="11"/>
      <color rgb="FF000000"/>
      <name val="Calibri"/>
      <charset val="1"/>
    </font>
    <font>
      <b/>
      <sz val="12"/>
      <color rgb="FF1E3A8A"/>
      <name val="Calibri"/>
      <charset val="1"/>
    </font>
    <font>
      <b/>
      <sz val="11"/>
      <color rgb="FFFFFFFF"/>
      <name val="Calibri"/>
      <charset val="1"/>
    </font>
    <font>
      <sz val="10"/>
      <name val="Calibri"/>
      <charset val="1"/>
    </font>
  </fonts>
  <fills count="9">
    <fill>
      <patternFill patternType="none"/>
    </fill>
    <fill>
      <patternFill patternType="gray125"/>
    </fill>
    <fill>
      <patternFill patternType="solid">
        <fgColor rgb="FF1E3A8A"/>
        <bgColor rgb="FF003366"/>
      </patternFill>
    </fill>
    <fill>
      <patternFill patternType="solid">
        <fgColor rgb="FFE0E7FF"/>
        <bgColor rgb="FFE2E8F0"/>
      </patternFill>
    </fill>
    <fill>
      <patternFill patternType="solid">
        <fgColor rgb="FFF97316"/>
        <bgColor rgb="FFFF9900"/>
      </patternFill>
    </fill>
    <fill>
      <patternFill patternType="solid">
        <fgColor rgb="FFE2E8F0"/>
        <bgColor rgb="FFE0E7FF"/>
      </patternFill>
    </fill>
    <fill>
      <patternFill patternType="solid">
        <fgColor rgb="FFFFF4C2"/>
        <bgColor rgb="FFF8FAFC"/>
      </patternFill>
    </fill>
    <fill>
      <patternFill patternType="solid">
        <fgColor rgb="FFF8FAFC"/>
        <bgColor rgb="FFFFFFFF"/>
      </patternFill>
    </fill>
    <fill>
      <patternFill patternType="solid">
        <fgColor rgb="FFDCFCE7"/>
        <bgColor rgb="FFE2E8F0"/>
      </patternFill>
    </fill>
  </fills>
  <borders count="2">
    <border>
      <left/>
      <right/>
      <top/>
      <bottom/>
      <diagonal/>
    </border>
    <border>
      <left style="thin">
        <color rgb="FFE2E8F0"/>
      </left>
      <right style="thin">
        <color rgb="FFE2E8F0"/>
      </right>
      <top style="thin">
        <color rgb="FFE2E8F0"/>
      </top>
      <bottom style="thin">
        <color rgb="FFE2E8F0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8" fillId="2" borderId="0" xfId="0" applyFont="1" applyFill="1" applyAlignment="1">
      <alignment horizontal="left" vertical="center" indent="1"/>
    </xf>
    <xf numFmtId="0" fontId="9" fillId="5" borderId="0" xfId="0" applyFont="1" applyFill="1" applyAlignment="1">
      <alignment horizontal="center" vertical="center"/>
    </xf>
    <xf numFmtId="0" fontId="3" fillId="0" borderId="0" xfId="0" applyFont="1" applyAlignment="1">
      <alignment horizontal="left" vertical="top" wrapText="1"/>
    </xf>
    <xf numFmtId="0" fontId="8" fillId="4" borderId="0" xfId="0" applyFont="1" applyFill="1" applyAlignment="1">
      <alignment horizontal="left" vertical="center" indent="1"/>
    </xf>
    <xf numFmtId="0" fontId="7" fillId="0" borderId="0" xfId="0" applyFont="1" applyAlignment="1">
      <alignment horizontal="left" vertical="center" wrapText="1"/>
    </xf>
    <xf numFmtId="0" fontId="6" fillId="0" borderId="0" xfId="0" applyFont="1" applyAlignment="1">
      <alignment horizontal="left" vertical="top" wrapText="1"/>
    </xf>
    <xf numFmtId="0" fontId="5" fillId="3" borderId="0" xfId="0" applyFont="1" applyFill="1" applyAlignment="1">
      <alignment horizontal="left" vertical="center" wrapText="1"/>
    </xf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3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10" fillId="0" borderId="1" xfId="0" applyFont="1" applyBorder="1" applyAlignment="1">
      <alignment horizontal="left" vertical="center" indent="1"/>
    </xf>
    <xf numFmtId="164" fontId="11" fillId="6" borderId="1" xfId="0" applyNumberFormat="1" applyFont="1" applyFill="1" applyBorder="1" applyAlignment="1" applyProtection="1">
      <alignment horizontal="right" vertical="center"/>
      <protection locked="0"/>
    </xf>
    <xf numFmtId="165" fontId="11" fillId="6" borderId="1" xfId="0" applyNumberFormat="1" applyFont="1" applyFill="1" applyBorder="1" applyAlignment="1" applyProtection="1">
      <alignment horizontal="right" vertical="center"/>
      <protection locked="0"/>
    </xf>
    <xf numFmtId="166" fontId="11" fillId="6" borderId="1" xfId="0" applyNumberFormat="1" applyFont="1" applyFill="1" applyBorder="1" applyAlignment="1" applyProtection="1">
      <alignment horizontal="right" vertical="center"/>
      <protection locked="0"/>
    </xf>
    <xf numFmtId="0" fontId="11" fillId="6" borderId="1" xfId="0" applyFont="1" applyFill="1" applyBorder="1" applyAlignment="1" applyProtection="1">
      <alignment horizontal="center" vertical="center"/>
      <protection locked="0"/>
    </xf>
    <xf numFmtId="164" fontId="12" fillId="7" borderId="1" xfId="0" applyNumberFormat="1" applyFont="1" applyFill="1" applyBorder="1" applyAlignment="1">
      <alignment horizontal="right" vertical="center"/>
    </xf>
    <xf numFmtId="167" fontId="12" fillId="7" borderId="1" xfId="0" applyNumberFormat="1" applyFont="1" applyFill="1" applyBorder="1" applyAlignment="1">
      <alignment horizontal="right" vertical="center"/>
    </xf>
    <xf numFmtId="166" fontId="12" fillId="7" borderId="1" xfId="0" applyNumberFormat="1" applyFont="1" applyFill="1" applyBorder="1" applyAlignment="1">
      <alignment horizontal="right" vertical="center"/>
    </xf>
    <xf numFmtId="168" fontId="13" fillId="8" borderId="1" xfId="0" applyNumberFormat="1" applyFont="1" applyFill="1" applyBorder="1" applyAlignment="1">
      <alignment horizontal="right" vertical="center"/>
    </xf>
    <xf numFmtId="10" fontId="12" fillId="7" borderId="1" xfId="0" applyNumberFormat="1" applyFont="1" applyFill="1" applyBorder="1" applyAlignment="1">
      <alignment horizontal="right" vertical="center"/>
    </xf>
    <xf numFmtId="0" fontId="12" fillId="7" borderId="1" xfId="0" applyFont="1" applyFill="1" applyBorder="1" applyAlignment="1">
      <alignment horizontal="center" vertical="center"/>
    </xf>
    <xf numFmtId="0" fontId="14" fillId="2" borderId="1" xfId="0" applyFont="1" applyFill="1" applyBorder="1" applyAlignment="1">
      <alignment horizontal="center" vertical="center" wrapText="1"/>
    </xf>
    <xf numFmtId="1" fontId="6" fillId="7" borderId="1" xfId="0" applyNumberFormat="1" applyFont="1" applyFill="1" applyBorder="1" applyAlignment="1">
      <alignment horizontal="center" vertical="center"/>
    </xf>
    <xf numFmtId="168" fontId="6" fillId="7" borderId="1" xfId="0" applyNumberFormat="1" applyFont="1" applyFill="1" applyBorder="1" applyAlignment="1">
      <alignment horizontal="right" vertical="center"/>
    </xf>
    <xf numFmtId="1" fontId="6" fillId="0" borderId="1" xfId="0" applyNumberFormat="1" applyFont="1" applyBorder="1" applyAlignment="1">
      <alignment horizontal="center" vertical="center"/>
    </xf>
    <xf numFmtId="168" fontId="6" fillId="0" borderId="1" xfId="0" applyNumberFormat="1" applyFont="1" applyBorder="1" applyAlignment="1">
      <alignment horizontal="right" vertical="center"/>
    </xf>
    <xf numFmtId="1" fontId="11" fillId="6" borderId="1" xfId="0" applyNumberFormat="1" applyFont="1" applyFill="1" applyBorder="1" applyAlignment="1" applyProtection="1">
      <alignment horizontal="right" vertical="center"/>
      <protection locked="0"/>
    </xf>
    <xf numFmtId="169" fontId="12" fillId="7" borderId="1" xfId="0" applyNumberFormat="1" applyFont="1" applyFill="1" applyBorder="1" applyAlignment="1">
      <alignment horizontal="right" vertical="center"/>
    </xf>
    <xf numFmtId="1" fontId="15" fillId="7" borderId="1" xfId="0" applyNumberFormat="1" applyFont="1" applyFill="1" applyBorder="1" applyAlignment="1">
      <alignment horizontal="center" vertical="center"/>
    </xf>
    <xf numFmtId="164" fontId="15" fillId="7" borderId="1" xfId="0" applyNumberFormat="1" applyFont="1" applyFill="1" applyBorder="1" applyAlignment="1">
      <alignment horizontal="right" vertical="center"/>
    </xf>
    <xf numFmtId="168" fontId="15" fillId="7" borderId="1" xfId="0" applyNumberFormat="1" applyFont="1" applyFill="1" applyBorder="1" applyAlignment="1">
      <alignment horizontal="right" vertical="center"/>
    </xf>
    <xf numFmtId="1" fontId="15" fillId="0" borderId="1" xfId="0" applyNumberFormat="1" applyFont="1" applyBorder="1" applyAlignment="1">
      <alignment horizontal="center" vertical="center"/>
    </xf>
    <xf numFmtId="164" fontId="15" fillId="0" borderId="1" xfId="0" applyNumberFormat="1" applyFont="1" applyBorder="1" applyAlignment="1">
      <alignment horizontal="right" vertical="center"/>
    </xf>
    <xf numFmtId="168" fontId="15" fillId="0" borderId="1" xfId="0" applyNumberFormat="1" applyFont="1" applyBorder="1" applyAlignment="1">
      <alignment horizontal="right" vertical="center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4C2"/>
      <rgbColor rgb="FFDCFCE7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E0E7FF"/>
      <rgbColor rgb="FFE2E8F0"/>
      <rgbColor rgb="FFF8FAF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97316"/>
      <rgbColor rgb="FF64748B"/>
      <rgbColor rgb="FF969696"/>
      <rgbColor rgb="FF003366"/>
      <rgbColor rgb="FF339966"/>
      <rgbColor rgb="FF003300"/>
      <rgbColor rgb="FF333300"/>
      <rgbColor rgb="FF993300"/>
      <rgbColor rgb="FF993366"/>
      <rgbColor rgb="FF1E3A8A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3"/>
  <sheetViews>
    <sheetView zoomScaleNormal="100" workbookViewId="0">
      <selection sqref="A1:H1"/>
    </sheetView>
  </sheetViews>
  <sheetFormatPr defaultColWidth="8.7109375" defaultRowHeight="15" x14ac:dyDescent="0.25"/>
  <cols>
    <col min="1" max="1" width="6" customWidth="1"/>
    <col min="2" max="7" width="26" customWidth="1"/>
    <col min="8" max="8" width="6" customWidth="1"/>
  </cols>
  <sheetData>
    <row r="1" spans="1:8" ht="25.5" customHeight="1" x14ac:dyDescent="0.25">
      <c r="A1" s="11" t="s">
        <v>0</v>
      </c>
      <c r="B1" s="11"/>
      <c r="C1" s="11"/>
      <c r="D1" s="11"/>
      <c r="E1" s="11"/>
      <c r="F1" s="11"/>
      <c r="G1" s="11"/>
      <c r="H1" s="11"/>
    </row>
    <row r="2" spans="1:8" ht="24" customHeight="1" x14ac:dyDescent="0.25">
      <c r="A2" s="10" t="s">
        <v>1</v>
      </c>
      <c r="B2" s="10"/>
      <c r="C2" s="10"/>
      <c r="D2" s="10"/>
      <c r="E2" s="10"/>
      <c r="F2" s="10"/>
      <c r="G2" s="10"/>
      <c r="H2" s="10"/>
    </row>
    <row r="3" spans="1:8" ht="18" customHeight="1" x14ac:dyDescent="0.25">
      <c r="A3" s="9" t="s">
        <v>2</v>
      </c>
      <c r="B3" s="9"/>
      <c r="C3" s="9"/>
      <c r="D3" s="9"/>
      <c r="E3" s="9"/>
      <c r="F3" s="9"/>
      <c r="G3" s="9"/>
      <c r="H3" s="9"/>
    </row>
    <row r="4" spans="1:8" ht="15.75" customHeight="1" x14ac:dyDescent="0.25">
      <c r="A4" s="8" t="s">
        <v>3</v>
      </c>
      <c r="B4" s="8"/>
      <c r="C4" s="8"/>
      <c r="D4" s="8"/>
      <c r="E4" s="8"/>
      <c r="F4" s="8"/>
      <c r="G4" s="8"/>
      <c r="H4" s="8"/>
    </row>
    <row r="6" spans="1:8" ht="16.149999999999999" customHeight="1" x14ac:dyDescent="0.25">
      <c r="B6" s="7" t="s">
        <v>4</v>
      </c>
      <c r="C6" s="7"/>
      <c r="D6" s="7"/>
      <c r="E6" s="7"/>
      <c r="F6" s="7"/>
      <c r="G6" s="7"/>
    </row>
    <row r="7" spans="1:8" ht="15" customHeight="1" x14ac:dyDescent="0.25">
      <c r="B7" s="6" t="s">
        <v>5</v>
      </c>
      <c r="C7" s="6"/>
      <c r="D7" s="6"/>
      <c r="E7" s="6"/>
      <c r="F7" s="6"/>
      <c r="G7" s="6"/>
    </row>
    <row r="8" spans="1:8" x14ac:dyDescent="0.25">
      <c r="B8" s="6"/>
      <c r="C8" s="6"/>
      <c r="D8" s="6"/>
      <c r="E8" s="6"/>
      <c r="F8" s="6"/>
      <c r="G8" s="6"/>
    </row>
    <row r="9" spans="1:8" x14ac:dyDescent="0.25">
      <c r="B9" s="6"/>
      <c r="C9" s="6"/>
      <c r="D9" s="6"/>
      <c r="E9" s="6"/>
      <c r="F9" s="6"/>
      <c r="G9" s="6"/>
    </row>
    <row r="10" spans="1:8" x14ac:dyDescent="0.25">
      <c r="B10" s="6"/>
      <c r="C10" s="6"/>
      <c r="D10" s="6"/>
      <c r="E10" s="6"/>
      <c r="F10" s="6"/>
      <c r="G10" s="6"/>
    </row>
    <row r="12" spans="1:8" ht="16.149999999999999" customHeight="1" x14ac:dyDescent="0.25">
      <c r="B12" s="7" t="s">
        <v>6</v>
      </c>
      <c r="C12" s="7"/>
      <c r="D12" s="7"/>
      <c r="E12" s="7"/>
      <c r="F12" s="7"/>
      <c r="G12" s="7"/>
    </row>
    <row r="13" spans="1:8" ht="15" customHeight="1" x14ac:dyDescent="0.25">
      <c r="B13" s="5" t="s">
        <v>7</v>
      </c>
      <c r="C13" s="5"/>
      <c r="D13" s="5"/>
      <c r="E13" s="5"/>
      <c r="F13" s="5"/>
      <c r="G13" s="5"/>
    </row>
    <row r="14" spans="1:8" ht="15" customHeight="1" x14ac:dyDescent="0.25">
      <c r="B14" s="5" t="s">
        <v>8</v>
      </c>
      <c r="C14" s="5"/>
      <c r="D14" s="5"/>
      <c r="E14" s="5"/>
      <c r="F14" s="5"/>
      <c r="G14" s="5"/>
    </row>
    <row r="16" spans="1:8" ht="21.75" customHeight="1" x14ac:dyDescent="0.25">
      <c r="A16" s="4" t="s">
        <v>9</v>
      </c>
      <c r="B16" s="4"/>
      <c r="C16" s="4"/>
      <c r="D16" s="4"/>
      <c r="E16" s="4"/>
      <c r="F16" s="4"/>
      <c r="G16" s="4"/>
    </row>
    <row r="17" spans="1:7" ht="15" customHeight="1" x14ac:dyDescent="0.25">
      <c r="B17" s="3" t="s">
        <v>10</v>
      </c>
      <c r="C17" s="3"/>
      <c r="D17" s="3"/>
      <c r="E17" s="3"/>
      <c r="F17" s="3"/>
      <c r="G17" s="3"/>
    </row>
    <row r="18" spans="1:7" x14ac:dyDescent="0.25">
      <c r="B18" s="3"/>
      <c r="C18" s="3"/>
      <c r="D18" s="3"/>
      <c r="E18" s="3"/>
      <c r="F18" s="3"/>
      <c r="G18" s="3"/>
    </row>
    <row r="19" spans="1:7" x14ac:dyDescent="0.25">
      <c r="B19" s="3"/>
      <c r="C19" s="3"/>
      <c r="D19" s="3"/>
      <c r="E19" s="3"/>
      <c r="F19" s="3"/>
      <c r="G19" s="3"/>
    </row>
    <row r="23" spans="1:7" ht="18" customHeight="1" x14ac:dyDescent="0.25">
      <c r="A23" s="2" t="s">
        <v>11</v>
      </c>
      <c r="B23" s="2"/>
      <c r="C23" s="2"/>
      <c r="D23" s="2"/>
      <c r="E23" s="2"/>
      <c r="F23" s="2"/>
      <c r="G23" s="2"/>
    </row>
  </sheetData>
  <sheetProtection password="BBBC" sheet="1" objects="1" scenarios="1"/>
  <mergeCells count="12">
    <mergeCell ref="B17:G19"/>
    <mergeCell ref="A23:G23"/>
    <mergeCell ref="B7:G10"/>
    <mergeCell ref="B12:G12"/>
    <mergeCell ref="B13:G13"/>
    <mergeCell ref="B14:G14"/>
    <mergeCell ref="A16:G16"/>
    <mergeCell ref="A1:H1"/>
    <mergeCell ref="A2:H2"/>
    <mergeCell ref="A3:H3"/>
    <mergeCell ref="A4:H4"/>
    <mergeCell ref="B6:G6"/>
  </mergeCells>
  <pageMargins left="0.75" right="0.75" top="1" bottom="1" header="0.511811023622047" footer="0.511811023622047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55"/>
  <sheetViews>
    <sheetView zoomScaleNormal="100" workbookViewId="0">
      <selection activeCell="L19" sqref="L19"/>
    </sheetView>
  </sheetViews>
  <sheetFormatPr defaultColWidth="8.7109375" defaultRowHeight="15" x14ac:dyDescent="0.25"/>
  <cols>
    <col min="1" max="1" width="4" customWidth="1"/>
    <col min="2" max="2" width="36" customWidth="1"/>
    <col min="3" max="3" width="22" customWidth="1"/>
    <col min="4" max="4" width="4" customWidth="1"/>
    <col min="5" max="5" width="14" customWidth="1"/>
    <col min="6" max="8" width="18" customWidth="1"/>
  </cols>
  <sheetData>
    <row r="1" spans="1:8" ht="25.5" customHeight="1" x14ac:dyDescent="0.25">
      <c r="A1" s="11" t="s">
        <v>0</v>
      </c>
      <c r="B1" s="11"/>
      <c r="C1" s="11"/>
      <c r="D1" s="11"/>
      <c r="E1" s="11"/>
      <c r="F1" s="11"/>
      <c r="G1" s="11"/>
      <c r="H1" s="11"/>
    </row>
    <row r="2" spans="1:8" ht="24" customHeight="1" x14ac:dyDescent="0.25">
      <c r="A2" s="10" t="s">
        <v>12</v>
      </c>
      <c r="B2" s="10"/>
      <c r="C2" s="10"/>
      <c r="D2" s="10"/>
      <c r="E2" s="10"/>
      <c r="F2" s="10"/>
      <c r="G2" s="10"/>
      <c r="H2" s="10"/>
    </row>
    <row r="3" spans="1:8" ht="18" customHeight="1" x14ac:dyDescent="0.25">
      <c r="A3" s="9" t="s">
        <v>2</v>
      </c>
      <c r="B3" s="9"/>
      <c r="C3" s="9"/>
      <c r="D3" s="9"/>
      <c r="E3" s="9"/>
      <c r="F3" s="9"/>
      <c r="G3" s="9"/>
      <c r="H3" s="9"/>
    </row>
    <row r="4" spans="1:8" ht="15.75" customHeight="1" x14ac:dyDescent="0.25">
      <c r="A4" s="8" t="s">
        <v>13</v>
      </c>
      <c r="B4" s="8"/>
      <c r="C4" s="8"/>
      <c r="D4" s="8"/>
      <c r="E4" s="8"/>
      <c r="F4" s="8"/>
      <c r="G4" s="8"/>
      <c r="H4" s="8"/>
    </row>
    <row r="6" spans="1:8" ht="21.75" customHeight="1" x14ac:dyDescent="0.25">
      <c r="A6" s="1" t="s">
        <v>14</v>
      </c>
      <c r="B6" s="1"/>
      <c r="C6" s="1"/>
      <c r="D6" s="1"/>
      <c r="E6" s="1"/>
      <c r="F6" s="1"/>
      <c r="G6" s="1"/>
      <c r="H6" s="1"/>
    </row>
    <row r="7" spans="1:8" x14ac:dyDescent="0.25">
      <c r="B7" s="12" t="s">
        <v>15</v>
      </c>
      <c r="C7" s="13">
        <v>1000000</v>
      </c>
    </row>
    <row r="8" spans="1:8" x14ac:dyDescent="0.25">
      <c r="B8" s="12" t="s">
        <v>16</v>
      </c>
      <c r="C8" s="14">
        <v>7.25</v>
      </c>
    </row>
    <row r="9" spans="1:8" x14ac:dyDescent="0.25">
      <c r="B9" s="12" t="s">
        <v>17</v>
      </c>
      <c r="C9" s="15">
        <v>10</v>
      </c>
    </row>
    <row r="10" spans="1:8" x14ac:dyDescent="0.25">
      <c r="B10" s="12" t="s">
        <v>18</v>
      </c>
      <c r="C10" s="16" t="s">
        <v>19</v>
      </c>
    </row>
    <row r="11" spans="1:8" x14ac:dyDescent="0.25">
      <c r="B11" s="12" t="s">
        <v>20</v>
      </c>
      <c r="C11" s="17">
        <f>IF(UPPER(C10)="YES",50000,40000)</f>
        <v>40000</v>
      </c>
    </row>
    <row r="13" spans="1:8" ht="21.75" customHeight="1" x14ac:dyDescent="0.25">
      <c r="A13" s="1" t="s">
        <v>21</v>
      </c>
      <c r="B13" s="1"/>
      <c r="C13" s="1"/>
      <c r="D13" s="1"/>
      <c r="E13" s="1"/>
      <c r="F13" s="1"/>
      <c r="G13" s="1"/>
      <c r="H13" s="1"/>
    </row>
    <row r="14" spans="1:8" x14ac:dyDescent="0.25">
      <c r="B14" s="12" t="s">
        <v>22</v>
      </c>
      <c r="C14" s="18">
        <f>C8/4/100</f>
        <v>1.8124999999999999E-2</v>
      </c>
    </row>
    <row r="15" spans="1:8" x14ac:dyDescent="0.25">
      <c r="B15" s="12" t="s">
        <v>23</v>
      </c>
      <c r="C15" s="19">
        <f>C9*4</f>
        <v>40</v>
      </c>
    </row>
    <row r="16" spans="1:8" ht="15.75" x14ac:dyDescent="0.25">
      <c r="B16" s="12" t="s">
        <v>24</v>
      </c>
      <c r="C16" s="20">
        <f>C7*(1+C14)^C15</f>
        <v>2051370.3125093579</v>
      </c>
    </row>
    <row r="17" spans="1:8" ht="15.75" x14ac:dyDescent="0.25">
      <c r="B17" s="12" t="s">
        <v>25</v>
      </c>
      <c r="C17" s="20">
        <f>C16-C7</f>
        <v>1051370.3125093579</v>
      </c>
    </row>
    <row r="18" spans="1:8" x14ac:dyDescent="0.25">
      <c r="B18" s="12" t="s">
        <v>26</v>
      </c>
      <c r="C18" s="21">
        <f>IF(C9&gt;0,(C16/C7)^(1/C9)-1,0)</f>
        <v>7.449501905532796E-2</v>
      </c>
    </row>
    <row r="19" spans="1:8" x14ac:dyDescent="0.25">
      <c r="B19" s="12" t="s">
        <v>27</v>
      </c>
      <c r="C19" s="22" t="str">
        <f>IF((C17/C9)&gt;C11,"Yes","No")</f>
        <v>Yes</v>
      </c>
    </row>
    <row r="21" spans="1:8" ht="21.75" customHeight="1" x14ac:dyDescent="0.25">
      <c r="A21" s="1" t="s">
        <v>28</v>
      </c>
      <c r="B21" s="1"/>
      <c r="C21" s="1"/>
      <c r="D21" s="1"/>
      <c r="E21" s="1"/>
      <c r="F21" s="1"/>
      <c r="G21" s="1"/>
      <c r="H21" s="1"/>
    </row>
    <row r="22" spans="1:8" ht="21.75" customHeight="1" x14ac:dyDescent="0.25">
      <c r="E22" s="23" t="s">
        <v>29</v>
      </c>
      <c r="F22" s="23" t="s">
        <v>30</v>
      </c>
      <c r="G22" s="23" t="s">
        <v>31</v>
      </c>
      <c r="H22" s="23" t="s">
        <v>32</v>
      </c>
    </row>
    <row r="23" spans="1:8" x14ac:dyDescent="0.25">
      <c r="E23" s="24">
        <f>IF(1&lt;=C9,1,"")</f>
        <v>1</v>
      </c>
      <c r="F23" s="25">
        <f>IF(1&lt;=C9,C7,"")</f>
        <v>1000000</v>
      </c>
      <c r="G23" s="25">
        <f>IF(1&lt;=C9,H23-F23,"")</f>
        <v>74495.019055327866</v>
      </c>
      <c r="H23" s="25">
        <f>IF(1&lt;=C9,F23*(1+C14)^4,"")</f>
        <v>1074495.0190553279</v>
      </c>
    </row>
    <row r="24" spans="1:8" x14ac:dyDescent="0.25">
      <c r="E24" s="26">
        <f>IF(2&lt;=C9,2,"")</f>
        <v>2</v>
      </c>
      <c r="F24" s="27">
        <f>IF(2&lt;=C9,H23,"")</f>
        <v>1074495.0190553279</v>
      </c>
      <c r="G24" s="27">
        <f>IF(2&lt;=C9,H24-F24,"")</f>
        <v>80044.526919381693</v>
      </c>
      <c r="H24" s="27">
        <f>IF(2&lt;=C9,F24*(1+C14)^4,"")</f>
        <v>1154539.5459747096</v>
      </c>
    </row>
    <row r="25" spans="1:8" x14ac:dyDescent="0.25">
      <c r="E25" s="24">
        <f>IF(3&lt;=C9,3,"")</f>
        <v>3</v>
      </c>
      <c r="F25" s="25">
        <f>IF(3&lt;=C9,H24,"")</f>
        <v>1154539.5459747096</v>
      </c>
      <c r="G25" s="25">
        <f>IF(3&lt;=C9,H25-F25,"")</f>
        <v>86007.445477515692</v>
      </c>
      <c r="H25" s="25">
        <f>IF(3&lt;=C9,F25*(1+C14)^4,"")</f>
        <v>1240546.9914522253</v>
      </c>
    </row>
    <row r="26" spans="1:8" x14ac:dyDescent="0.25">
      <c r="E26" s="26">
        <f>IF(4&lt;=C9,4,"")</f>
        <v>4</v>
      </c>
      <c r="F26" s="27">
        <f>IF(4&lt;=C9,H25,"")</f>
        <v>1240546.9914522253</v>
      </c>
      <c r="G26" s="27">
        <f>IF(4&lt;=C9,H26-F26,"")</f>
        <v>92414.571767263347</v>
      </c>
      <c r="H26" s="27">
        <f>IF(4&lt;=C9,F26*(1+C14)^4,"")</f>
        <v>1332961.5632194886</v>
      </c>
    </row>
    <row r="27" spans="1:8" x14ac:dyDescent="0.25">
      <c r="E27" s="24">
        <f>IF(5&lt;=C9,5,"")</f>
        <v>5</v>
      </c>
      <c r="F27" s="25">
        <f>IF(5&lt;=C9,H26,"")</f>
        <v>1332961.5632194886</v>
      </c>
      <c r="G27" s="25">
        <f>IF(5&lt;=C9,H27-F27,"")</f>
        <v>99298.997052055551</v>
      </c>
      <c r="H27" s="25">
        <f>IF(5&lt;=C9,F27*(1+C14)^4,"")</f>
        <v>1432260.5602715441</v>
      </c>
    </row>
    <row r="28" spans="1:8" x14ac:dyDescent="0.25">
      <c r="E28" s="26">
        <f>IF(6&lt;=C9,6,"")</f>
        <v>6</v>
      </c>
      <c r="F28" s="27">
        <f>IF(6&lt;=C9,H27,"")</f>
        <v>1432260.5602715441</v>
      </c>
      <c r="G28" s="27">
        <f>IF(6&lt;=C9,H28-F28,"")</f>
        <v>106696.27772962349</v>
      </c>
      <c r="H28" s="27">
        <f>IF(6&lt;=C9,F28*(1+C14)^4,"")</f>
        <v>1538956.8380011676</v>
      </c>
    </row>
    <row r="29" spans="1:8" x14ac:dyDescent="0.25">
      <c r="E29" s="24">
        <f>IF(7&lt;=C9,7,"")</f>
        <v>7</v>
      </c>
      <c r="F29" s="25">
        <f>IF(7&lt;=C9,H28,"")</f>
        <v>1538956.8380011676</v>
      </c>
      <c r="G29" s="25">
        <f>IF(7&lt;=C9,H29-F29,"")</f>
        <v>114644.61897222418</v>
      </c>
      <c r="H29" s="25">
        <f>IF(7&lt;=C9,F29*(1+C14)^4,"")</f>
        <v>1653601.4569733918</v>
      </c>
    </row>
    <row r="30" spans="1:8" x14ac:dyDescent="0.25">
      <c r="E30" s="26">
        <f>IF(8&lt;=C9,8,"")</f>
        <v>8</v>
      </c>
      <c r="F30" s="27">
        <f>IF(8&lt;=C9,H29,"")</f>
        <v>1653601.4569733918</v>
      </c>
      <c r="G30" s="27">
        <f>IF(8&lt;=C9,H30-F30,"")</f>
        <v>123185.07204715093</v>
      </c>
      <c r="H30" s="27">
        <f>IF(8&lt;=C9,F30*(1+C14)^4,"")</f>
        <v>1776786.5290205427</v>
      </c>
    </row>
    <row r="31" spans="1:8" x14ac:dyDescent="0.25">
      <c r="E31" s="24">
        <f>IF(9&lt;=C9,9,"")</f>
        <v>9</v>
      </c>
      <c r="F31" s="25">
        <f>IF(9&lt;=C9,H30,"")</f>
        <v>1776786.5290205427</v>
      </c>
      <c r="G31" s="25">
        <f>IF(9&lt;=C9,H31-F31,"")</f>
        <v>132361.74633663544</v>
      </c>
      <c r="H31" s="25">
        <f>IF(9&lt;=C9,F31*(1+C14)^4,"")</f>
        <v>1909148.2753571782</v>
      </c>
    </row>
    <row r="32" spans="1:8" x14ac:dyDescent="0.25">
      <c r="E32" s="26">
        <f>IF(10&lt;=C9,10,"")</f>
        <v>10</v>
      </c>
      <c r="F32" s="27">
        <f>IF(10&lt;=C9,H31,"")</f>
        <v>1909148.2753571782</v>
      </c>
      <c r="G32" s="27">
        <f>IF(10&lt;=C9,H32-F32,"")</f>
        <v>142222.03715217952</v>
      </c>
      <c r="H32" s="27">
        <f>IF(10&lt;=C9,F32*(1+C14)^4,"")</f>
        <v>2051370.3125093577</v>
      </c>
    </row>
    <row r="33" spans="5:8" x14ac:dyDescent="0.25">
      <c r="E33" s="24" t="str">
        <f>IF(11&lt;=C9,11,"")</f>
        <v/>
      </c>
      <c r="F33" s="25" t="str">
        <f>IF(11&lt;=C9,H32,"")</f>
        <v/>
      </c>
      <c r="G33" s="25" t="str">
        <f>IF(11&lt;=C9,H33-F33,"")</f>
        <v/>
      </c>
      <c r="H33" s="25" t="str">
        <f>IF(11&lt;=C9,F33*(1+C14)^4,"")</f>
        <v/>
      </c>
    </row>
    <row r="34" spans="5:8" x14ac:dyDescent="0.25">
      <c r="E34" s="26" t="str">
        <f>IF(12&lt;=C9,12,"")</f>
        <v/>
      </c>
      <c r="F34" s="27" t="str">
        <f>IF(12&lt;=C9,H33,"")</f>
        <v/>
      </c>
      <c r="G34" s="27" t="str">
        <f>IF(12&lt;=C9,H34-F34,"")</f>
        <v/>
      </c>
      <c r="H34" s="27" t="str">
        <f>IF(12&lt;=C9,F34*(1+C14)^4,"")</f>
        <v/>
      </c>
    </row>
    <row r="35" spans="5:8" x14ac:dyDescent="0.25">
      <c r="E35" s="24" t="str">
        <f>IF(13&lt;=C9,13,"")</f>
        <v/>
      </c>
      <c r="F35" s="25" t="str">
        <f>IF(13&lt;=C9,H34,"")</f>
        <v/>
      </c>
      <c r="G35" s="25" t="str">
        <f>IF(13&lt;=C9,H35-F35,"")</f>
        <v/>
      </c>
      <c r="H35" s="25" t="str">
        <f>IF(13&lt;=C9,F35*(1+C14)^4,"")</f>
        <v/>
      </c>
    </row>
    <row r="36" spans="5:8" x14ac:dyDescent="0.25">
      <c r="E36" s="26" t="str">
        <f>IF(14&lt;=C9,14,"")</f>
        <v/>
      </c>
      <c r="F36" s="27" t="str">
        <f>IF(14&lt;=C9,H35,"")</f>
        <v/>
      </c>
      <c r="G36" s="27" t="str">
        <f>IF(14&lt;=C9,H36-F36,"")</f>
        <v/>
      </c>
      <c r="H36" s="27" t="str">
        <f>IF(14&lt;=C9,F36*(1+C14)^4,"")</f>
        <v/>
      </c>
    </row>
    <row r="37" spans="5:8" x14ac:dyDescent="0.25">
      <c r="E37" s="24" t="str">
        <f>IF(15&lt;=C9,15,"")</f>
        <v/>
      </c>
      <c r="F37" s="25" t="str">
        <f>IF(15&lt;=C9,H36,"")</f>
        <v/>
      </c>
      <c r="G37" s="25" t="str">
        <f>IF(15&lt;=C9,H37-F37,"")</f>
        <v/>
      </c>
      <c r="H37" s="25" t="str">
        <f>IF(15&lt;=C9,F37*(1+C14)^4,"")</f>
        <v/>
      </c>
    </row>
    <row r="38" spans="5:8" x14ac:dyDescent="0.25">
      <c r="E38" s="26" t="str">
        <f>IF(16&lt;=C9,16,"")</f>
        <v/>
      </c>
      <c r="F38" s="27" t="str">
        <f>IF(16&lt;=C9,H37,"")</f>
        <v/>
      </c>
      <c r="G38" s="27" t="str">
        <f>IF(16&lt;=C9,H38-F38,"")</f>
        <v/>
      </c>
      <c r="H38" s="27" t="str">
        <f>IF(16&lt;=C9,F38*(1+C14)^4,"")</f>
        <v/>
      </c>
    </row>
    <row r="39" spans="5:8" x14ac:dyDescent="0.25">
      <c r="E39" s="24" t="str">
        <f>IF(17&lt;=C9,17,"")</f>
        <v/>
      </c>
      <c r="F39" s="25" t="str">
        <f>IF(17&lt;=C9,H38,"")</f>
        <v/>
      </c>
      <c r="G39" s="25" t="str">
        <f>IF(17&lt;=C9,H39-F39,"")</f>
        <v/>
      </c>
      <c r="H39" s="25" t="str">
        <f>IF(17&lt;=C9,F39*(1+C14)^4,"")</f>
        <v/>
      </c>
    </row>
    <row r="40" spans="5:8" x14ac:dyDescent="0.25">
      <c r="E40" s="26" t="str">
        <f>IF(18&lt;=C9,18,"")</f>
        <v/>
      </c>
      <c r="F40" s="27" t="str">
        <f>IF(18&lt;=C9,H39,"")</f>
        <v/>
      </c>
      <c r="G40" s="27" t="str">
        <f>IF(18&lt;=C9,H40-F40,"")</f>
        <v/>
      </c>
      <c r="H40" s="27" t="str">
        <f>IF(18&lt;=C9,F40*(1+C14)^4,"")</f>
        <v/>
      </c>
    </row>
    <row r="41" spans="5:8" x14ac:dyDescent="0.25">
      <c r="E41" s="24" t="str">
        <f>IF(19&lt;=C9,19,"")</f>
        <v/>
      </c>
      <c r="F41" s="25" t="str">
        <f>IF(19&lt;=C9,H40,"")</f>
        <v/>
      </c>
      <c r="G41" s="25" t="str">
        <f>IF(19&lt;=C9,H41-F41,"")</f>
        <v/>
      </c>
      <c r="H41" s="25" t="str">
        <f>IF(19&lt;=C9,F41*(1+C14)^4,"")</f>
        <v/>
      </c>
    </row>
    <row r="42" spans="5:8" x14ac:dyDescent="0.25">
      <c r="E42" s="26" t="str">
        <f>IF(20&lt;=C9,20,"")</f>
        <v/>
      </c>
      <c r="F42" s="27" t="str">
        <f>IF(20&lt;=C9,H41,"")</f>
        <v/>
      </c>
      <c r="G42" s="27" t="str">
        <f>IF(20&lt;=C9,H42-F42,"")</f>
        <v/>
      </c>
      <c r="H42" s="27" t="str">
        <f>IF(20&lt;=C9,F42*(1+C14)^4,"")</f>
        <v/>
      </c>
    </row>
    <row r="43" spans="5:8" x14ac:dyDescent="0.25">
      <c r="E43" s="24" t="str">
        <f>IF(21&lt;=C9,21,"")</f>
        <v/>
      </c>
      <c r="F43" s="25" t="str">
        <f>IF(21&lt;=C9,H42,"")</f>
        <v/>
      </c>
      <c r="G43" s="25" t="str">
        <f>IF(21&lt;=C9,H43-F43,"")</f>
        <v/>
      </c>
      <c r="H43" s="25" t="str">
        <f>IF(21&lt;=C9,F43*(1+C14)^4,"")</f>
        <v/>
      </c>
    </row>
    <row r="44" spans="5:8" x14ac:dyDescent="0.25">
      <c r="E44" s="26" t="str">
        <f>IF(22&lt;=C9,22,"")</f>
        <v/>
      </c>
      <c r="F44" s="27" t="str">
        <f>IF(22&lt;=C9,H43,"")</f>
        <v/>
      </c>
      <c r="G44" s="27" t="str">
        <f>IF(22&lt;=C9,H44-F44,"")</f>
        <v/>
      </c>
      <c r="H44" s="27" t="str">
        <f>IF(22&lt;=C9,F44*(1+C14)^4,"")</f>
        <v/>
      </c>
    </row>
    <row r="45" spans="5:8" x14ac:dyDescent="0.25">
      <c r="E45" s="24" t="str">
        <f>IF(23&lt;=C9,23,"")</f>
        <v/>
      </c>
      <c r="F45" s="25" t="str">
        <f>IF(23&lt;=C9,H44,"")</f>
        <v/>
      </c>
      <c r="G45" s="25" t="str">
        <f>IF(23&lt;=C9,H45-F45,"")</f>
        <v/>
      </c>
      <c r="H45" s="25" t="str">
        <f>IF(23&lt;=C9,F45*(1+C14)^4,"")</f>
        <v/>
      </c>
    </row>
    <row r="46" spans="5:8" x14ac:dyDescent="0.25">
      <c r="E46" s="26" t="str">
        <f>IF(24&lt;=C9,24,"")</f>
        <v/>
      </c>
      <c r="F46" s="27" t="str">
        <f>IF(24&lt;=C9,H45,"")</f>
        <v/>
      </c>
      <c r="G46" s="27" t="str">
        <f>IF(24&lt;=C9,H46-F46,"")</f>
        <v/>
      </c>
      <c r="H46" s="27" t="str">
        <f>IF(24&lt;=C9,F46*(1+C14)^4,"")</f>
        <v/>
      </c>
    </row>
    <row r="47" spans="5:8" x14ac:dyDescent="0.25">
      <c r="E47" s="24" t="str">
        <f>IF(25&lt;=C9,25,"")</f>
        <v/>
      </c>
      <c r="F47" s="25" t="str">
        <f>IF(25&lt;=C9,H46,"")</f>
        <v/>
      </c>
      <c r="G47" s="25" t="str">
        <f>IF(25&lt;=C9,H47-F47,"")</f>
        <v/>
      </c>
      <c r="H47" s="25" t="str">
        <f>IF(25&lt;=C9,F47*(1+C14)^4,"")</f>
        <v/>
      </c>
    </row>
    <row r="48" spans="5:8" x14ac:dyDescent="0.25">
      <c r="E48" s="26" t="str">
        <f>IF(26&lt;=C9,26,"")</f>
        <v/>
      </c>
      <c r="F48" s="27" t="str">
        <f>IF(26&lt;=C9,H47,"")</f>
        <v/>
      </c>
      <c r="G48" s="27" t="str">
        <f>IF(26&lt;=C9,H48-F48,"")</f>
        <v/>
      </c>
      <c r="H48" s="27" t="str">
        <f>IF(26&lt;=C9,F48*(1+C14)^4,"")</f>
        <v/>
      </c>
    </row>
    <row r="49" spans="1:8" x14ac:dyDescent="0.25">
      <c r="E49" s="24" t="str">
        <f>IF(27&lt;=C9,27,"")</f>
        <v/>
      </c>
      <c r="F49" s="25" t="str">
        <f>IF(27&lt;=C9,H48,"")</f>
        <v/>
      </c>
      <c r="G49" s="25" t="str">
        <f>IF(27&lt;=C9,H49-F49,"")</f>
        <v/>
      </c>
      <c r="H49" s="25" t="str">
        <f>IF(27&lt;=C9,F49*(1+C14)^4,"")</f>
        <v/>
      </c>
    </row>
    <row r="50" spans="1:8" x14ac:dyDescent="0.25">
      <c r="E50" s="26" t="str">
        <f>IF(28&lt;=C9,28,"")</f>
        <v/>
      </c>
      <c r="F50" s="27" t="str">
        <f>IF(28&lt;=C9,H49,"")</f>
        <v/>
      </c>
      <c r="G50" s="27" t="str">
        <f>IF(28&lt;=C9,H50-F50,"")</f>
        <v/>
      </c>
      <c r="H50" s="27" t="str">
        <f>IF(28&lt;=C9,F50*(1+C14)^4,"")</f>
        <v/>
      </c>
    </row>
    <row r="51" spans="1:8" x14ac:dyDescent="0.25">
      <c r="E51" s="24" t="str">
        <f>IF(29&lt;=C9,29,"")</f>
        <v/>
      </c>
      <c r="F51" s="25" t="str">
        <f>IF(29&lt;=C9,H50,"")</f>
        <v/>
      </c>
      <c r="G51" s="25" t="str">
        <f>IF(29&lt;=C9,H51-F51,"")</f>
        <v/>
      </c>
      <c r="H51" s="25" t="str">
        <f>IF(29&lt;=C9,F51*(1+C14)^4,"")</f>
        <v/>
      </c>
    </row>
    <row r="52" spans="1:8" x14ac:dyDescent="0.25">
      <c r="E52" s="26" t="str">
        <f>IF(30&lt;=C9,30,"")</f>
        <v/>
      </c>
      <c r="F52" s="27" t="str">
        <f>IF(30&lt;=C9,H51,"")</f>
        <v/>
      </c>
      <c r="G52" s="27" t="str">
        <f>IF(30&lt;=C9,H52-F52,"")</f>
        <v/>
      </c>
      <c r="H52" s="27" t="str">
        <f>IF(30&lt;=C9,F52*(1+C14)^4,"")</f>
        <v/>
      </c>
    </row>
    <row r="55" spans="1:8" ht="18" customHeight="1" x14ac:dyDescent="0.25">
      <c r="A55" s="2" t="s">
        <v>11</v>
      </c>
      <c r="B55" s="2"/>
      <c r="C55" s="2"/>
      <c r="D55" s="2"/>
      <c r="E55" s="2"/>
      <c r="F55" s="2"/>
      <c r="G55" s="2"/>
      <c r="H55" s="2"/>
    </row>
  </sheetData>
  <sheetProtection password="BBBC" sheet="1" objects="1" scenarios="1"/>
  <mergeCells count="8">
    <mergeCell ref="A13:H13"/>
    <mergeCell ref="A21:H21"/>
    <mergeCell ref="A55:H55"/>
    <mergeCell ref="A1:H1"/>
    <mergeCell ref="A2:H2"/>
    <mergeCell ref="A3:H3"/>
    <mergeCell ref="A4:H4"/>
    <mergeCell ref="A6:H6"/>
  </mergeCells>
  <dataValidations count="1">
    <dataValidation type="list" showErrorMessage="1" errorTitle="Invalid Selection" error="Please select Yes or No" sqref="C10" xr:uid="{00000000-0002-0000-0100-000000000000}">
      <formula1>"Yes,No"</formula1>
      <formula2>0</formula2>
    </dataValidation>
  </dataValidations>
  <pageMargins left="0.75" right="0.75" top="1" bottom="1" header="0.511811023622047" footer="0.511811023622047"/>
  <pageSetup paperSize="9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143"/>
  <sheetViews>
    <sheetView tabSelected="1" zoomScaleNormal="100" workbookViewId="0">
      <pane xSplit="4" ySplit="20" topLeftCell="E21" activePane="bottomRight" state="frozen"/>
      <selection pane="topRight" activeCell="E1" sqref="E1"/>
      <selection pane="bottomLeft" activeCell="A21" sqref="A21"/>
      <selection pane="bottomRight" activeCell="C35" sqref="C35"/>
    </sheetView>
  </sheetViews>
  <sheetFormatPr defaultColWidth="8.7109375" defaultRowHeight="15" x14ac:dyDescent="0.25"/>
  <cols>
    <col min="1" max="1" width="4" customWidth="1"/>
    <col min="2" max="2" width="36" customWidth="1"/>
    <col min="3" max="3" width="22" customWidth="1"/>
    <col min="4" max="4" width="4" customWidth="1"/>
    <col min="5" max="5" width="14" customWidth="1"/>
    <col min="6" max="8" width="18" customWidth="1"/>
  </cols>
  <sheetData>
    <row r="1" spans="1:8" ht="25.5" customHeight="1" x14ac:dyDescent="0.25">
      <c r="A1" s="11" t="s">
        <v>0</v>
      </c>
      <c r="B1" s="11"/>
      <c r="C1" s="11"/>
      <c r="D1" s="11"/>
      <c r="E1" s="11"/>
      <c r="F1" s="11"/>
      <c r="G1" s="11"/>
      <c r="H1" s="11"/>
    </row>
    <row r="2" spans="1:8" ht="24" customHeight="1" x14ac:dyDescent="0.25">
      <c r="A2" s="10" t="s">
        <v>33</v>
      </c>
      <c r="B2" s="10"/>
      <c r="C2" s="10"/>
      <c r="D2" s="10"/>
      <c r="E2" s="10"/>
      <c r="F2" s="10"/>
      <c r="G2" s="10"/>
      <c r="H2" s="10"/>
    </row>
    <row r="3" spans="1:8" ht="18" customHeight="1" x14ac:dyDescent="0.25">
      <c r="A3" s="9" t="s">
        <v>2</v>
      </c>
      <c r="B3" s="9"/>
      <c r="C3" s="9"/>
      <c r="D3" s="9"/>
      <c r="E3" s="9"/>
      <c r="F3" s="9"/>
      <c r="G3" s="9"/>
      <c r="H3" s="9"/>
    </row>
    <row r="4" spans="1:8" ht="15.75" customHeight="1" x14ac:dyDescent="0.25">
      <c r="A4" s="8" t="s">
        <v>34</v>
      </c>
      <c r="B4" s="8"/>
      <c r="C4" s="8"/>
      <c r="D4" s="8"/>
      <c r="E4" s="8"/>
      <c r="F4" s="8"/>
      <c r="G4" s="8"/>
      <c r="H4" s="8"/>
    </row>
    <row r="6" spans="1:8" ht="21.75" customHeight="1" x14ac:dyDescent="0.25">
      <c r="A6" s="1" t="s">
        <v>35</v>
      </c>
      <c r="B6" s="1"/>
      <c r="C6" s="1"/>
      <c r="D6" s="1"/>
      <c r="E6" s="1"/>
      <c r="F6" s="1"/>
      <c r="G6" s="1"/>
      <c r="H6" s="1"/>
    </row>
    <row r="7" spans="1:8" x14ac:dyDescent="0.25">
      <c r="B7" s="12" t="s">
        <v>36</v>
      </c>
      <c r="C7" s="13">
        <v>5000</v>
      </c>
    </row>
    <row r="8" spans="1:8" x14ac:dyDescent="0.25">
      <c r="B8" s="12" t="s">
        <v>16</v>
      </c>
      <c r="C8" s="14">
        <v>7.25</v>
      </c>
    </row>
    <row r="9" spans="1:8" x14ac:dyDescent="0.25">
      <c r="B9" s="12" t="s">
        <v>37</v>
      </c>
      <c r="C9" s="28">
        <v>60</v>
      </c>
    </row>
    <row r="11" spans="1:8" ht="21.75" customHeight="1" x14ac:dyDescent="0.25">
      <c r="A11" s="1" t="s">
        <v>21</v>
      </c>
      <c r="B11" s="1"/>
      <c r="C11" s="1"/>
      <c r="D11" s="1"/>
      <c r="E11" s="1"/>
      <c r="F11" s="1"/>
      <c r="G11" s="1"/>
      <c r="H11" s="1"/>
    </row>
    <row r="12" spans="1:8" x14ac:dyDescent="0.25">
      <c r="B12" s="12" t="s">
        <v>22</v>
      </c>
      <c r="C12" s="18">
        <f>C8/4/100</f>
        <v>1.8124999999999999E-2</v>
      </c>
    </row>
    <row r="13" spans="1:8" x14ac:dyDescent="0.25">
      <c r="B13" s="12" t="s">
        <v>38</v>
      </c>
      <c r="C13" s="29">
        <f>(1+C12)^(1/3)</f>
        <v>1.0060055280997151</v>
      </c>
    </row>
    <row r="14" spans="1:8" x14ac:dyDescent="0.25">
      <c r="B14" s="12" t="s">
        <v>39</v>
      </c>
      <c r="C14" s="17">
        <f>C7*C9</f>
        <v>300000</v>
      </c>
    </row>
    <row r="15" spans="1:8" ht="15.75" x14ac:dyDescent="0.25">
      <c r="B15" s="12" t="s">
        <v>24</v>
      </c>
      <c r="C15" s="20">
        <f>IFERROR(C7*C13*(C13^C9-1)/(C13-1),0)</f>
        <v>362046.85582379019</v>
      </c>
    </row>
    <row r="16" spans="1:8" ht="15.75" x14ac:dyDescent="0.25">
      <c r="B16" s="12" t="s">
        <v>25</v>
      </c>
      <c r="C16" s="20">
        <f>C15-C14</f>
        <v>62046.855823790189</v>
      </c>
    </row>
    <row r="17" spans="1:8" x14ac:dyDescent="0.25">
      <c r="B17" s="12" t="s">
        <v>40</v>
      </c>
      <c r="C17" s="21">
        <f>IF(C9&gt;0,(C15/C14)^(12/C9)-1,0)</f>
        <v>3.8313988722726178E-2</v>
      </c>
    </row>
    <row r="19" spans="1:8" ht="21.75" customHeight="1" x14ac:dyDescent="0.25">
      <c r="A19" s="1" t="s">
        <v>41</v>
      </c>
      <c r="B19" s="1"/>
      <c r="C19" s="1"/>
      <c r="D19" s="1"/>
      <c r="E19" s="1"/>
      <c r="F19" s="1"/>
      <c r="G19" s="1"/>
      <c r="H19" s="1"/>
    </row>
    <row r="20" spans="1:8" ht="21.75" customHeight="1" x14ac:dyDescent="0.25">
      <c r="E20" s="23" t="s">
        <v>42</v>
      </c>
      <c r="F20" s="23" t="s">
        <v>43</v>
      </c>
      <c r="G20" s="23" t="s">
        <v>31</v>
      </c>
      <c r="H20" s="23" t="s">
        <v>44</v>
      </c>
    </row>
    <row r="21" spans="1:8" x14ac:dyDescent="0.25">
      <c r="E21" s="30">
        <f>IF(1&lt;=C9,1,"")</f>
        <v>1</v>
      </c>
      <c r="F21" s="31">
        <f>IF(1&lt;=C9,C7,"")</f>
        <v>5000</v>
      </c>
      <c r="G21" s="32">
        <f>IF(1&lt;=C9,0,"")</f>
        <v>0</v>
      </c>
      <c r="H21" s="32">
        <f>IF(1&lt;=C9,F21,"")</f>
        <v>5000</v>
      </c>
    </row>
    <row r="22" spans="1:8" x14ac:dyDescent="0.25">
      <c r="E22" s="33">
        <f>IF(2&lt;=C9,2,"")</f>
        <v>2</v>
      </c>
      <c r="F22" s="34">
        <f>IF(2&lt;=C9,C7,"")</f>
        <v>5000</v>
      </c>
      <c r="G22" s="35">
        <f>IF(2&lt;=C9,H21*(C13-1),"")</f>
        <v>30.027640498575536</v>
      </c>
      <c r="H22" s="35">
        <f>IF(2&lt;=C9,H21*C13+F22,"")</f>
        <v>10030.027640498574</v>
      </c>
    </row>
    <row r="23" spans="1:8" x14ac:dyDescent="0.25">
      <c r="E23" s="30">
        <f>IF(3&lt;=C9,3,"")</f>
        <v>3</v>
      </c>
      <c r="F23" s="31">
        <f>IF(3&lt;=C9,C7,"")</f>
        <v>5000</v>
      </c>
      <c r="G23" s="32">
        <f>IF(3&lt;=C9,H22*(C13-1),"")</f>
        <v>60.235612835933402</v>
      </c>
      <c r="H23" s="32">
        <f>IF(3&lt;=C9,H22*C13+F23,"")</f>
        <v>15090.263253334508</v>
      </c>
    </row>
    <row r="24" spans="1:8" x14ac:dyDescent="0.25">
      <c r="E24" s="33">
        <f>IF(4&lt;=C9,4,"")</f>
        <v>4</v>
      </c>
      <c r="F24" s="34">
        <f>IF(4&lt;=C9,C7,"")</f>
        <v>5000</v>
      </c>
      <c r="G24" s="35">
        <f>IF(4&lt;=C9,H23*(C13-1),"")</f>
        <v>90.624999999998693</v>
      </c>
      <c r="H24" s="35">
        <f>IF(4&lt;=C9,H23*C13+F24,"")</f>
        <v>20180.888253334506</v>
      </c>
    </row>
    <row r="25" spans="1:8" x14ac:dyDescent="0.25">
      <c r="E25" s="30">
        <f>IF(5&lt;=C9,5,"")</f>
        <v>5</v>
      </c>
      <c r="F25" s="31">
        <f>IF(5&lt;=C9,C7,"")</f>
        <v>5000</v>
      </c>
      <c r="G25" s="32">
        <f>IF(5&lt;=C9,H24*(C13-1),"")</f>
        <v>121.19689148261091</v>
      </c>
      <c r="H25" s="32">
        <f>IF(5&lt;=C9,H24*C13+F25,"")</f>
        <v>25302.085144817116</v>
      </c>
    </row>
    <row r="26" spans="1:8" x14ac:dyDescent="0.25">
      <c r="E26" s="33">
        <f>IF(6&lt;=C9,6,"")</f>
        <v>6</v>
      </c>
      <c r="F26" s="34">
        <f>IF(6&lt;=C9,C7,"")</f>
        <v>5000</v>
      </c>
      <c r="G26" s="35">
        <f>IF(6&lt;=C9,H25*(C13-1),"")</f>
        <v>151.95238331858337</v>
      </c>
      <c r="H26" s="35">
        <f>IF(6&lt;=C9,H25*C13+F26,"")</f>
        <v>30454.037528135701</v>
      </c>
    </row>
    <row r="27" spans="1:8" x14ac:dyDescent="0.25">
      <c r="E27" s="30">
        <f>IF(7&lt;=C9,7,"")</f>
        <v>7</v>
      </c>
      <c r="F27" s="31">
        <f>IF(7&lt;=C9,C7,"")</f>
        <v>5000</v>
      </c>
      <c r="G27" s="32">
        <f>IF(7&lt;=C9,H26*(C13-1),"")</f>
        <v>182.89257812499736</v>
      </c>
      <c r="H27" s="32">
        <f>IF(7&lt;=C9,H26*C13+F27,"")</f>
        <v>35636.930106260697</v>
      </c>
    </row>
    <row r="28" spans="1:8" x14ac:dyDescent="0.25">
      <c r="E28" s="33">
        <f>IF(8&lt;=C9,8,"")</f>
        <v>8</v>
      </c>
      <c r="F28" s="34">
        <f>IF(8&lt;=C9,C7,"")</f>
        <v>5000</v>
      </c>
      <c r="G28" s="35">
        <f>IF(8&lt;=C9,H27*(C13-1),"")</f>
        <v>214.01858514073191</v>
      </c>
      <c r="H28" s="35">
        <f>IF(8&lt;=C9,H27*C13+F28,"")</f>
        <v>40850.948691401427</v>
      </c>
    </row>
    <row r="29" spans="1:8" x14ac:dyDescent="0.25">
      <c r="E29" s="30">
        <f>IF(9&lt;=C9,9,"")</f>
        <v>9</v>
      </c>
      <c r="F29" s="31">
        <f>IF(9&lt;=C9,C7,"")</f>
        <v>5000</v>
      </c>
      <c r="G29" s="32">
        <f>IF(9&lt;=C9,H28*(C13-1),"")</f>
        <v>245.33152026623137</v>
      </c>
      <c r="H29" s="32">
        <f>IF(9&lt;=C9,H28*C13+F29,"")</f>
        <v>46096.280211667661</v>
      </c>
    </row>
    <row r="30" spans="1:8" x14ac:dyDescent="0.25">
      <c r="E30" s="33">
        <f>IF(10&lt;=C9,10,"")</f>
        <v>10</v>
      </c>
      <c r="F30" s="34">
        <f>IF(10&lt;=C9,C7,"")</f>
        <v>5000</v>
      </c>
      <c r="G30" s="35">
        <f>IF(10&lt;=C9,H29*(C13-1),"")</f>
        <v>276.83250610351161</v>
      </c>
      <c r="H30" s="35">
        <f>IF(10&lt;=C9,H29*C13+F30,"")</f>
        <v>51373.112717771175</v>
      </c>
    </row>
    <row r="31" spans="1:8" x14ac:dyDescent="0.25">
      <c r="E31" s="30">
        <f>IF(11&lt;=C9,11,"")</f>
        <v>11</v>
      </c>
      <c r="F31" s="31">
        <f>IF(11&lt;=C9,C7,"")</f>
        <v>5000</v>
      </c>
      <c r="G31" s="32">
        <f>IF(11&lt;=C9,H30*(C13-1),"")</f>
        <v>308.52267199640636</v>
      </c>
      <c r="H31" s="32">
        <f>IF(11&lt;=C9,H30*C13+F31,"")</f>
        <v>56681.63538976758</v>
      </c>
    </row>
    <row r="32" spans="1:8" x14ac:dyDescent="0.25">
      <c r="E32" s="33">
        <f>IF(12&lt;=C9,12,"")</f>
        <v>12</v>
      </c>
      <c r="F32" s="34">
        <f>IF(12&lt;=C9,C7,"")</f>
        <v>5000</v>
      </c>
      <c r="G32" s="35">
        <f>IF(12&lt;=C9,H31*(C13-1),"")</f>
        <v>340.40315407105544</v>
      </c>
      <c r="H32" s="35">
        <f>IF(12&lt;=C9,H31*C13+F32,"")</f>
        <v>62022.038543838637</v>
      </c>
    </row>
    <row r="33" spans="5:8" x14ac:dyDescent="0.25">
      <c r="E33" s="30">
        <f>IF(13&lt;=C9,13,"")</f>
        <v>13</v>
      </c>
      <c r="F33" s="31">
        <f>IF(13&lt;=C9,C7,"")</f>
        <v>5000</v>
      </c>
      <c r="G33" s="32">
        <f>IF(13&lt;=C9,H32*(C13-1),"")</f>
        <v>372.47509527663641</v>
      </c>
      <c r="H33" s="32">
        <f>IF(13&lt;=C9,H32*C13+F33,"")</f>
        <v>67394.513639115263</v>
      </c>
    </row>
    <row r="34" spans="5:8" x14ac:dyDescent="0.25">
      <c r="E34" s="33">
        <f>IF(14&lt;=C9,14,"")</f>
        <v>14</v>
      </c>
      <c r="F34" s="34">
        <f>IF(14&lt;=C9,C7,"")</f>
        <v>5000</v>
      </c>
      <c r="G34" s="35">
        <f>IF(14&lt;=C9,H33*(C13-1),"")</f>
        <v>404.73964542633973</v>
      </c>
      <c r="H34" s="35">
        <f>IF(14&lt;=C9,H33*C13+F34,"")</f>
        <v>72799.253284541599</v>
      </c>
    </row>
    <row r="35" spans="5:8" x14ac:dyDescent="0.25">
      <c r="E35" s="30">
        <f>IF(15&lt;=C9,15,"")</f>
        <v>15</v>
      </c>
      <c r="F35" s="31">
        <f>IF(15&lt;=C9,C7,"")</f>
        <v>5000</v>
      </c>
      <c r="G35" s="32">
        <f>IF(15&lt;=C9,H34*(C13-1),"")</f>
        <v>437.19796123859192</v>
      </c>
      <c r="H35" s="32">
        <f>IF(15&lt;=C9,H34*C13+F35,"")</f>
        <v>78236.45124578019</v>
      </c>
    </row>
    <row r="36" spans="5:8" x14ac:dyDescent="0.25">
      <c r="E36" s="33">
        <f>IF(16&lt;=C9,16,"")</f>
        <v>16</v>
      </c>
      <c r="F36" s="34">
        <f>IF(16&lt;=C9,C7,"")</f>
        <v>5000</v>
      </c>
      <c r="G36" s="35">
        <f>IF(16&lt;=C9,H35*(C13-1),"")</f>
        <v>469.85120637852395</v>
      </c>
      <c r="H36" s="35">
        <f>IF(16&lt;=C9,H35*C13+F36,"")</f>
        <v>83706.302452158721</v>
      </c>
    </row>
    <row r="37" spans="5:8" x14ac:dyDescent="0.25">
      <c r="E37" s="30">
        <f>IF(17&lt;=C9,17,"")</f>
        <v>17</v>
      </c>
      <c r="F37" s="31">
        <f>IF(17&lt;=C9,C7,"")</f>
        <v>5000</v>
      </c>
      <c r="G37" s="32">
        <f>IF(17&lt;=C9,H36*(C13-1),"")</f>
        <v>502.70055149969079</v>
      </c>
      <c r="H37" s="32">
        <f>IF(17&lt;=C9,H36*C13+F37,"")</f>
        <v>89209.003003658407</v>
      </c>
    </row>
    <row r="38" spans="5:8" x14ac:dyDescent="0.25">
      <c r="E38" s="33">
        <f>IF(18&lt;=C9,18,"")</f>
        <v>18</v>
      </c>
      <c r="F38" s="34">
        <f>IF(18&lt;=C9,C7,"")</f>
        <v>5000</v>
      </c>
      <c r="G38" s="35">
        <f>IF(18&lt;=C9,H37*(C13-1),"")</f>
        <v>535.74717428603992</v>
      </c>
      <c r="H38" s="35">
        <f>IF(18&lt;=C9,H37*C13+F38,"")</f>
        <v>94744.750177944443</v>
      </c>
    </row>
    <row r="39" spans="5:8" x14ac:dyDescent="0.25">
      <c r="E39" s="30">
        <f>IF(19&lt;=C9,19,"")</f>
        <v>19</v>
      </c>
      <c r="F39" s="31">
        <f>IF(19&lt;=C9,C7,"")</f>
        <v>5000</v>
      </c>
      <c r="G39" s="32">
        <f>IF(19&lt;=C9,H38*(C13-1),"")</f>
        <v>568.99225949413324</v>
      </c>
      <c r="H39" s="32">
        <f>IF(19&lt;=C9,H38*C13+F39,"")</f>
        <v>100313.74243743857</v>
      </c>
    </row>
    <row r="40" spans="5:8" x14ac:dyDescent="0.25">
      <c r="E40" s="33">
        <f>IF(20&lt;=C9,20,"")</f>
        <v>20</v>
      </c>
      <c r="F40" s="34">
        <f>IF(20&lt;=C9,C7,"")</f>
        <v>5000</v>
      </c>
      <c r="G40" s="35">
        <f>IF(20&lt;=C9,H39*(C13-1),"")</f>
        <v>602.43699899562114</v>
      </c>
      <c r="H40" s="35">
        <f>IF(20&lt;=C9,H39*C13+F40,"")</f>
        <v>105916.17943643419</v>
      </c>
    </row>
    <row r="41" spans="5:8" x14ac:dyDescent="0.25">
      <c r="E41" s="30">
        <f>IF(21&lt;=C9,21,"")</f>
        <v>21</v>
      </c>
      <c r="F41" s="31">
        <f>IF(21&lt;=C9,C7,"")</f>
        <v>5000</v>
      </c>
      <c r="G41" s="32">
        <f>IF(21&lt;=C9,H40*(C13-1),"")</f>
        <v>636.082591819973</v>
      </c>
      <c r="H41" s="32">
        <f>IF(21&lt;=C9,H40*C13+F41,"")</f>
        <v>111552.26202825416</v>
      </c>
    </row>
    <row r="42" spans="5:8" x14ac:dyDescent="0.25">
      <c r="E42" s="33">
        <f>IF(22&lt;=C9,22,"")</f>
        <v>22</v>
      </c>
      <c r="F42" s="34">
        <f>IF(22&lt;=C9,C7,"")</f>
        <v>5000</v>
      </c>
      <c r="G42" s="35">
        <f>IF(22&lt;=C9,H41*(C13-1),"")</f>
        <v>669.93024419746291</v>
      </c>
      <c r="H42" s="35">
        <f>IF(22&lt;=C9,H41*C13+F42,"")</f>
        <v>117222.19227245162</v>
      </c>
    </row>
    <row r="43" spans="5:8" x14ac:dyDescent="0.25">
      <c r="E43" s="30">
        <f>IF(23&lt;=C9,23,"")</f>
        <v>23</v>
      </c>
      <c r="F43" s="31">
        <f>IF(23&lt;=C9,C7,"")</f>
        <v>5000</v>
      </c>
      <c r="G43" s="32">
        <f>IF(23&lt;=C9,H42*(C13-1),"")</f>
        <v>703.98116960241532</v>
      </c>
      <c r="H43" s="32">
        <f>IF(23&lt;=C9,H42*C13+F43,"")</f>
        <v>122926.17344205403</v>
      </c>
    </row>
    <row r="44" spans="5:8" x14ac:dyDescent="0.25">
      <c r="E44" s="33">
        <f>IF(24&lt;=C9,24,"")</f>
        <v>24</v>
      </c>
      <c r="F44" s="34">
        <f>IF(24&lt;=C9,C7,"")</f>
        <v>5000</v>
      </c>
      <c r="G44" s="35">
        <f>IF(24&lt;=C9,H43*(C13-1),"")</f>
        <v>738.23658879670847</v>
      </c>
      <c r="H44" s="35">
        <f>IF(24&lt;=C9,H43*C13+F44,"")</f>
        <v>128664.41003085073</v>
      </c>
    </row>
    <row r="45" spans="5:8" x14ac:dyDescent="0.25">
      <c r="E45" s="30">
        <f>IF(25&lt;=C9,25,"")</f>
        <v>25</v>
      </c>
      <c r="F45" s="31">
        <f>IF(25&lt;=C9,C7,"")</f>
        <v>5000</v>
      </c>
      <c r="G45" s="32">
        <f>IF(25&lt;=C9,H44*(C13-1),"")</f>
        <v>772.69772987354042</v>
      </c>
      <c r="H45" s="32">
        <f>IF(25&lt;=C9,H44*C13+F45,"")</f>
        <v>134437.10776072426</v>
      </c>
    </row>
    <row r="46" spans="5:8" x14ac:dyDescent="0.25">
      <c r="E46" s="33">
        <f>IF(26&lt;=C9,26,"")</f>
        <v>26</v>
      </c>
      <c r="F46" s="34">
        <f>IF(26&lt;=C9,C7,"")</f>
        <v>5000</v>
      </c>
      <c r="G46" s="35">
        <f>IF(26&lt;=C9,H45*(C13-1),"")</f>
        <v>807.36582830145744</v>
      </c>
      <c r="H46" s="35">
        <f>IF(26&lt;=C9,H45*C13+F46,"")</f>
        <v>140244.47358902573</v>
      </c>
    </row>
    <row r="47" spans="5:8" x14ac:dyDescent="0.25">
      <c r="E47" s="30">
        <f>IF(27&lt;=C9,27,"")</f>
        <v>27</v>
      </c>
      <c r="F47" s="31">
        <f>IF(27&lt;=C9,C7,"")</f>
        <v>5000</v>
      </c>
      <c r="G47" s="32">
        <f>IF(27&lt;=C9,H46*(C13-1),"")</f>
        <v>842.2421269686472</v>
      </c>
      <c r="H47" s="32">
        <f>IF(27&lt;=C9,H46*C13+F47,"")</f>
        <v>146086.71571599439</v>
      </c>
    </row>
    <row r="48" spans="5:8" x14ac:dyDescent="0.25">
      <c r="E48" s="33">
        <f>IF(28&lt;=C9,28,"")</f>
        <v>28</v>
      </c>
      <c r="F48" s="34">
        <f>IF(28&lt;=C9,C7,"")</f>
        <v>5000</v>
      </c>
      <c r="G48" s="35">
        <f>IF(28&lt;=C9,H47*(C13-1),"")</f>
        <v>877.32787622749686</v>
      </c>
      <c r="H48" s="35">
        <f>IF(28&lt;=C9,H47*C13+F48,"")</f>
        <v>151964.04359222189</v>
      </c>
    </row>
    <row r="49" spans="5:8" x14ac:dyDescent="0.25">
      <c r="E49" s="30">
        <f>IF(29&lt;=C9,29,"")</f>
        <v>29</v>
      </c>
      <c r="F49" s="31">
        <f>IF(29&lt;=C9,C7,"")</f>
        <v>5000</v>
      </c>
      <c r="G49" s="32">
        <f>IF(29&lt;=C9,H48*(C13-1),"")</f>
        <v>912.62433393942001</v>
      </c>
      <c r="H49" s="32">
        <f>IF(29&lt;=C9,H48*C13+F49,"")</f>
        <v>157876.66792616132</v>
      </c>
    </row>
    <row r="50" spans="5:8" x14ac:dyDescent="0.25">
      <c r="E50" s="33">
        <f>IF(30&lt;=C9,30,"")</f>
        <v>30</v>
      </c>
      <c r="F50" s="34">
        <f>IF(30&lt;=C9,C7,"")</f>
        <v>5000</v>
      </c>
      <c r="G50" s="35">
        <f>IF(30&lt;=C9,H49*(C13-1),"")</f>
        <v>948.13276551995261</v>
      </c>
      <c r="H50" s="35">
        <f>IF(30&lt;=C9,H49*C13+F50,"")</f>
        <v>163824.80069168127</v>
      </c>
    </row>
    <row r="51" spans="5:8" x14ac:dyDescent="0.25">
      <c r="E51" s="30">
        <f>IF(31&lt;=C9,31,"")</f>
        <v>31</v>
      </c>
      <c r="F51" s="31">
        <f>IF(31&lt;=C9,C7,"")</f>
        <v>5000</v>
      </c>
      <c r="G51" s="32">
        <f>IF(31&lt;=C9,H50*(C13-1),"")</f>
        <v>983.8544439841188</v>
      </c>
      <c r="H51" s="32">
        <f>IF(31&lt;=C9,H50*C13+F51,"")</f>
        <v>169808.65513566538</v>
      </c>
    </row>
    <row r="52" spans="5:8" x14ac:dyDescent="0.25">
      <c r="E52" s="33">
        <f>IF(32&lt;=C9,32,"")</f>
        <v>32</v>
      </c>
      <c r="F52" s="34">
        <f>IF(32&lt;=C9,C7,"")</f>
        <v>5000</v>
      </c>
      <c r="G52" s="35">
        <f>IF(32&lt;=C9,H51*(C13-1),"")</f>
        <v>1019.7906499920705</v>
      </c>
      <c r="H52" s="35">
        <f>IF(32&lt;=C9,H51*C13+F52,"")</f>
        <v>175828.44578565744</v>
      </c>
    </row>
    <row r="53" spans="5:8" x14ac:dyDescent="0.25">
      <c r="E53" s="30">
        <f>IF(33&lt;=C9,33,"")</f>
        <v>33</v>
      </c>
      <c r="F53" s="31">
        <f>IF(33&lt;=C9,C7,"")</f>
        <v>5000</v>
      </c>
      <c r="G53" s="32">
        <f>IF(33&lt;=C9,H52*(C13-1),"")</f>
        <v>1055.9426718950001</v>
      </c>
      <c r="H53" s="32">
        <f>IF(33&lt;=C9,H52*C13+F53,"")</f>
        <v>181884.38845755244</v>
      </c>
    </row>
    <row r="54" spans="5:8" x14ac:dyDescent="0.25">
      <c r="E54" s="33">
        <f>IF(34&lt;=C9,34,"")</f>
        <v>34</v>
      </c>
      <c r="F54" s="34">
        <f>IF(34&lt;=C9,C7,"")</f>
        <v>5000</v>
      </c>
      <c r="G54" s="35">
        <f>IF(34&lt;=C9,H53*(C13-1),"")</f>
        <v>1092.3118057813292</v>
      </c>
      <c r="H54" s="35">
        <f>IF(34&lt;=C9,H53*C13+F54,"")</f>
        <v>187976.70026333377</v>
      </c>
    </row>
    <row r="55" spans="5:8" x14ac:dyDescent="0.25">
      <c r="E55" s="30">
        <f>IF(35&lt;=C9,35,"")</f>
        <v>35</v>
      </c>
      <c r="F55" s="31">
        <f>IF(35&lt;=C9,C7,"")</f>
        <v>5000</v>
      </c>
      <c r="G55" s="32">
        <f>IF(35&lt;=C9,H54*(C13-1),"")</f>
        <v>1128.8993555231752</v>
      </c>
      <c r="H55" s="32">
        <f>IF(35&lt;=C9,H54*C13+F55,"")</f>
        <v>194105.59961885694</v>
      </c>
    </row>
    <row r="56" spans="5:8" x14ac:dyDescent="0.25">
      <c r="E56" s="33">
        <f>IF(36&lt;=C9,36,"")</f>
        <v>36</v>
      </c>
      <c r="F56" s="34">
        <f>IF(36&lt;=C9,C7,"")</f>
        <v>5000</v>
      </c>
      <c r="G56" s="35">
        <f>IF(36&lt;=C9,H55*(C13-1),"")</f>
        <v>1165.7066328230953</v>
      </c>
      <c r="H56" s="35">
        <f>IF(36&lt;=C9,H55*C13+F56,"")</f>
        <v>200271.30625168004</v>
      </c>
    </row>
    <row r="57" spans="5:8" x14ac:dyDescent="0.25">
      <c r="E57" s="30">
        <f>IF(37&lt;=C9,37,"")</f>
        <v>37</v>
      </c>
      <c r="F57" s="31">
        <f>IF(37&lt;=C9,C7,"")</f>
        <v>5000</v>
      </c>
      <c r="G57" s="32">
        <f>IF(37&lt;=C9,H56*(C13-1),"")</f>
        <v>1202.7349572611142</v>
      </c>
      <c r="H57" s="32">
        <f>IF(37&lt;=C9,H56*C13+F57,"")</f>
        <v>206474.04120894117</v>
      </c>
    </row>
    <row r="58" spans="5:8" x14ac:dyDescent="0.25">
      <c r="E58" s="33">
        <f>IF(38&lt;=C9,38,"")</f>
        <v>38</v>
      </c>
      <c r="F58" s="34">
        <f>IF(38&lt;=C9,C7,"")</f>
        <v>5000</v>
      </c>
      <c r="G58" s="35">
        <f>IF(38&lt;=C9,H57*(C13-1),"")</f>
        <v>1239.9856563420312</v>
      </c>
      <c r="H58" s="35">
        <f>IF(38&lt;=C9,H57*C13+F58,"")</f>
        <v>212714.0268652832</v>
      </c>
    </row>
    <row r="59" spans="5:8" x14ac:dyDescent="0.25">
      <c r="E59" s="30">
        <f>IF(39&lt;=C9,39,"")</f>
        <v>39</v>
      </c>
      <c r="F59" s="31">
        <f>IF(39&lt;=C9,C7,"")</f>
        <v>5000</v>
      </c>
      <c r="G59" s="32">
        <f>IF(39&lt;=C9,H58*(C13-1),"")</f>
        <v>1277.4600655430124</v>
      </c>
      <c r="H59" s="32">
        <f>IF(39&lt;=C9,H58*C13+F59,"")</f>
        <v>218991.48693082621</v>
      </c>
    </row>
    <row r="60" spans="5:8" x14ac:dyDescent="0.25">
      <c r="E60" s="33">
        <f>IF(40&lt;=C9,40,"")</f>
        <v>40</v>
      </c>
      <c r="F60" s="34">
        <f>IF(40&lt;=C9,C7,"")</f>
        <v>5000</v>
      </c>
      <c r="G60" s="35">
        <f>IF(40&lt;=C9,H59*(C13-1),"")</f>
        <v>1315.1595283614704</v>
      </c>
      <c r="H60" s="35">
        <f>IF(40&lt;=C9,H59*C13+F60,"")</f>
        <v>225306.64645918767</v>
      </c>
    </row>
    <row r="61" spans="5:8" x14ac:dyDescent="0.25">
      <c r="E61" s="30">
        <f>IF(41&lt;=C9,41,"")</f>
        <v>41</v>
      </c>
      <c r="F61" s="31">
        <f>IF(41&lt;=C9,C7,"")</f>
        <v>5000</v>
      </c>
      <c r="G61" s="32">
        <f>IF(41&lt;=C9,H60*(C13-1),"")</f>
        <v>1353.0853963632289</v>
      </c>
      <c r="H61" s="32">
        <f>IF(41&lt;=C9,H60*C13+F61,"")</f>
        <v>231659.7318555509</v>
      </c>
    </row>
    <row r="62" spans="5:8" x14ac:dyDescent="0.25">
      <c r="E62" s="33">
        <f>IF(42&lt;=C9,42,"")</f>
        <v>42</v>
      </c>
      <c r="F62" s="34">
        <f>IF(42&lt;=C9,C7,"")</f>
        <v>5000</v>
      </c>
      <c r="G62" s="35">
        <f>IF(42&lt;=C9,H61*(C13-1),"")</f>
        <v>1391.2390292309778</v>
      </c>
      <c r="H62" s="35">
        <f>IF(42&lt;=C9,H61*C13+F62,"")</f>
        <v>238050.97088478188</v>
      </c>
    </row>
    <row r="63" spans="5:8" x14ac:dyDescent="0.25">
      <c r="E63" s="30">
        <f>IF(43&lt;=C9,43,"")</f>
        <v>43</v>
      </c>
      <c r="F63" s="31">
        <f>IF(43&lt;=C9,C7,"")</f>
        <v>5000</v>
      </c>
      <c r="G63" s="32">
        <f>IF(43&lt;=C9,H62*(C13-1),"")</f>
        <v>1429.6217948130204</v>
      </c>
      <c r="H63" s="32">
        <f>IF(43&lt;=C9,H62*C13+F63,"")</f>
        <v>244480.59267959491</v>
      </c>
    </row>
    <row r="64" spans="5:8" x14ac:dyDescent="0.25">
      <c r="E64" s="33">
        <f>IF(44&lt;=C9,44,"")</f>
        <v>44</v>
      </c>
      <c r="F64" s="34">
        <f>IF(44&lt;=C9,C7,"")</f>
        <v>5000</v>
      </c>
      <c r="G64" s="35">
        <f>IF(44&lt;=C9,H63*(C13-1),"")</f>
        <v>1468.2350691723107</v>
      </c>
      <c r="H64" s="35">
        <f>IF(44&lt;=C9,H63*C13+F64,"")</f>
        <v>250948.82774876722</v>
      </c>
    </row>
    <row r="65" spans="5:8" x14ac:dyDescent="0.25">
      <c r="E65" s="30">
        <f>IF(45&lt;=C9,45,"")</f>
        <v>45</v>
      </c>
      <c r="F65" s="31">
        <f>IF(45&lt;=C9,C7,"")</f>
        <v>5000</v>
      </c>
      <c r="G65" s="32">
        <f>IF(45&lt;=C9,H64*(C13-1),"")</f>
        <v>1507.0802366357877</v>
      </c>
      <c r="H65" s="32">
        <f>IF(45&lt;=C9,H64*C13+F65,"")</f>
        <v>257455.907985403</v>
      </c>
    </row>
    <row r="66" spans="5:8" x14ac:dyDescent="0.25">
      <c r="E66" s="33">
        <f>IF(46&lt;=C9,46,"")</f>
        <v>46</v>
      </c>
      <c r="F66" s="34">
        <f>IF(46&lt;=C9,C7,"")</f>
        <v>5000</v>
      </c>
      <c r="G66" s="35">
        <f>IF(46&lt;=C9,H65*(C13-1),"")</f>
        <v>1546.1586898440048</v>
      </c>
      <c r="H66" s="35">
        <f>IF(46&lt;=C9,H65*C13+F66,"")</f>
        <v>264002.06667524704</v>
      </c>
    </row>
    <row r="67" spans="5:8" x14ac:dyDescent="0.25">
      <c r="E67" s="30">
        <f>IF(47&lt;=C9,47,"")</f>
        <v>47</v>
      </c>
      <c r="F67" s="31">
        <f>IF(47&lt;=C9,C7,"")</f>
        <v>5000</v>
      </c>
      <c r="G67" s="32">
        <f>IF(47&lt;=C9,H66*(C13-1),"")</f>
        <v>1585.4718298010573</v>
      </c>
      <c r="H67" s="32">
        <f>IF(47&lt;=C9,H66*C13+F67,"")</f>
        <v>270587.53850504808</v>
      </c>
    </row>
    <row r="68" spans="5:8" x14ac:dyDescent="0.25">
      <c r="E68" s="33">
        <f>IF(48&lt;=C9,48,"")</f>
        <v>48</v>
      </c>
      <c r="F68" s="34">
        <f>IF(48&lt;=C9,C7,"")</f>
        <v>5000</v>
      </c>
      <c r="G68" s="35">
        <f>IF(48&lt;=C9,H67*(C13-1),"")</f>
        <v>1625.0210659248098</v>
      </c>
      <c r="H68" s="35">
        <f>IF(48&lt;=C9,H67*C13+F68,"")</f>
        <v>277212.55957097287</v>
      </c>
    </row>
    <row r="69" spans="5:8" x14ac:dyDescent="0.25">
      <c r="E69" s="30">
        <f>IF(49&lt;=C9,49,"")</f>
        <v>49</v>
      </c>
      <c r="F69" s="31">
        <f>IF(49&lt;=C9,C7,"")</f>
        <v>5000</v>
      </c>
      <c r="G69" s="32">
        <f>IF(49&lt;=C9,H68*(C13-1),"")</f>
        <v>1664.8078160974258</v>
      </c>
      <c r="H69" s="32">
        <f>IF(49&lt;=C9,H68*C13+F69,"")</f>
        <v>283877.36738707032</v>
      </c>
    </row>
    <row r="70" spans="5:8" x14ac:dyDescent="0.25">
      <c r="E70" s="33">
        <f>IF(50&lt;=C9,50,"")</f>
        <v>50</v>
      </c>
      <c r="F70" s="34">
        <f>IF(50&lt;=C9,C7,"")</f>
        <v>5000</v>
      </c>
      <c r="G70" s="35">
        <f>IF(50&lt;=C9,H69*(C13-1),"")</f>
        <v>1704.8335067161997</v>
      </c>
      <c r="H70" s="35">
        <f>IF(50&lt;=C9,H69*C13+F70,"")</f>
        <v>290582.2008937865</v>
      </c>
    </row>
    <row r="71" spans="5:8" x14ac:dyDescent="0.25">
      <c r="E71" s="30">
        <f>IF(51&lt;=C9,51,"")</f>
        <v>51</v>
      </c>
      <c r="F71" s="31">
        <f>IF(51&lt;=C9,C7,"")</f>
        <v>5000</v>
      </c>
      <c r="G71" s="32">
        <f>IF(51&lt;=C9,H70*(C13-1),"")</f>
        <v>1745.0995727446953</v>
      </c>
      <c r="H71" s="32">
        <f>IF(51&lt;=C9,H70*C13+F71,"")</f>
        <v>297327.30046653119</v>
      </c>
    </row>
    <row r="72" spans="5:8" x14ac:dyDescent="0.25">
      <c r="E72" s="33">
        <f>IF(52&lt;=C9,52,"")</f>
        <v>52</v>
      </c>
      <c r="F72" s="34">
        <f>IF(52&lt;=C9,C7,"")</f>
        <v>5000</v>
      </c>
      <c r="G72" s="35">
        <f>IF(52&lt;=C9,H71*(C13-1),"")</f>
        <v>1785.6074577641898</v>
      </c>
      <c r="H72" s="35">
        <f>IF(52&lt;=C9,H71*C13+F72,"")</f>
        <v>304112.9079242954</v>
      </c>
    </row>
    <row r="73" spans="5:8" x14ac:dyDescent="0.25">
      <c r="E73" s="30">
        <f>IF(53&lt;=C9,53,"")</f>
        <v>53</v>
      </c>
      <c r="F73" s="31">
        <f>IF(53&lt;=C9,C7,"")</f>
        <v>5000</v>
      </c>
      <c r="G73" s="32">
        <f>IF(53&lt;=C9,H72*(C13-1),"")</f>
        <v>1826.3586140254292</v>
      </c>
      <c r="H73" s="32">
        <f>IF(53&lt;=C9,H72*C13+F73,"")</f>
        <v>310939.26653832081</v>
      </c>
    </row>
    <row r="74" spans="5:8" x14ac:dyDescent="0.25">
      <c r="E74" s="33">
        <f>IF(54&lt;=C9,54,"")</f>
        <v>54</v>
      </c>
      <c r="F74" s="34">
        <f>IF(54&lt;=C9,C7,"")</f>
        <v>5000</v>
      </c>
      <c r="G74" s="35">
        <f>IF(54&lt;=C9,H73*(C13-1),"")</f>
        <v>1867.3545025006911</v>
      </c>
      <c r="H74" s="35">
        <f>IF(54&lt;=C9,H73*C13+F74,"")</f>
        <v>317806.62104082148</v>
      </c>
    </row>
    <row r="75" spans="5:8" x14ac:dyDescent="0.25">
      <c r="E75" s="30">
        <f>IF(55&lt;=C9,55,"")</f>
        <v>55</v>
      </c>
      <c r="F75" s="31">
        <f>IF(55&lt;=C9,C7,"")</f>
        <v>5000</v>
      </c>
      <c r="G75" s="32">
        <f>IF(55&lt;=C9,H74*(C13-1),"")</f>
        <v>1908.5965929361639</v>
      </c>
      <c r="H75" s="32">
        <f>IF(55&lt;=C9,H74*C13+F75,"")</f>
        <v>324715.21763375762</v>
      </c>
    </row>
    <row r="76" spans="5:8" x14ac:dyDescent="0.25">
      <c r="E76" s="33">
        <f>IF(56&lt;=C9,56,"")</f>
        <v>56</v>
      </c>
      <c r="F76" s="34">
        <f>IF(56&lt;=C9,C7,"")</f>
        <v>5000</v>
      </c>
      <c r="G76" s="35">
        <f>IF(56&lt;=C9,H75*(C13-1),"")</f>
        <v>1950.0863639046379</v>
      </c>
      <c r="H76" s="35">
        <f>IF(56&lt;=C9,H75*C13+F76,"")</f>
        <v>331665.30399766227</v>
      </c>
    </row>
    <row r="77" spans="5:8" x14ac:dyDescent="0.25">
      <c r="E77" s="30">
        <f>IF(57&lt;=C9,57,"")</f>
        <v>57</v>
      </c>
      <c r="F77" s="31">
        <f>IF(57&lt;=C9,C7,"")</f>
        <v>5000</v>
      </c>
      <c r="G77" s="32">
        <f>IF(57&lt;=C9,H76*(C13-1),"")</f>
        <v>1991.8253028585141</v>
      </c>
      <c r="H77" s="32">
        <f>IF(57&lt;=C9,H76*C13+F77,"")</f>
        <v>338657.12930052076</v>
      </c>
    </row>
    <row r="78" spans="5:8" x14ac:dyDescent="0.25">
      <c r="E78" s="33">
        <f>IF(58&lt;=C9,58,"")</f>
        <v>58</v>
      </c>
      <c r="F78" s="34">
        <f>IF(58&lt;=C9,C7,"")</f>
        <v>5000</v>
      </c>
      <c r="G78" s="35">
        <f>IF(58&lt;=C9,H77*(C13-1),"")</f>
        <v>2033.8149061831298</v>
      </c>
      <c r="H78" s="35">
        <f>IF(58&lt;=C9,H77*C13+F78,"")</f>
        <v>345690.94420670386</v>
      </c>
    </row>
    <row r="79" spans="5:8" x14ac:dyDescent="0.25">
      <c r="E79" s="30">
        <f>IF(59&lt;=C9,59,"")</f>
        <v>59</v>
      </c>
      <c r="F79" s="31">
        <f>IF(59&lt;=C9,C7,"")</f>
        <v>5000</v>
      </c>
      <c r="G79" s="32">
        <f>IF(59&lt;=C9,H78*(C13-1),"")</f>
        <v>2076.0566792504073</v>
      </c>
      <c r="H79" s="32">
        <f>IF(59&lt;=C9,H78*C13+F79,"")</f>
        <v>352767.00088595424</v>
      </c>
    </row>
    <row r="80" spans="5:8" x14ac:dyDescent="0.25">
      <c r="E80" s="33">
        <f>IF(60&lt;=C9,60,"")</f>
        <v>60</v>
      </c>
      <c r="F80" s="34">
        <f>IF(60&lt;=C9,C7,"")</f>
        <v>5000</v>
      </c>
      <c r="G80" s="35">
        <f>IF(60&lt;=C9,H79*(C13-1),"")</f>
        <v>2118.5521364728224</v>
      </c>
      <c r="H80" s="35">
        <f>IF(60&lt;=C9,H79*C13+F80,"")</f>
        <v>359885.55302242708</v>
      </c>
    </row>
    <row r="81" spans="5:8" x14ac:dyDescent="0.25">
      <c r="E81" s="30" t="str">
        <f>IF(61&lt;=C9,61,"")</f>
        <v/>
      </c>
      <c r="F81" s="31" t="str">
        <f>IF(61&lt;=C9,C7,"")</f>
        <v/>
      </c>
      <c r="G81" s="32" t="str">
        <f>IF(61&lt;=C9,H80*(C13-1),"")</f>
        <v/>
      </c>
      <c r="H81" s="32" t="str">
        <f>IF(61&lt;=C9,H80*C13+F81,"")</f>
        <v/>
      </c>
    </row>
    <row r="82" spans="5:8" x14ac:dyDescent="0.25">
      <c r="E82" s="33" t="str">
        <f>IF(62&lt;=C9,62,"")</f>
        <v/>
      </c>
      <c r="F82" s="34" t="str">
        <f>IF(62&lt;=C9,C7,"")</f>
        <v/>
      </c>
      <c r="G82" s="35" t="str">
        <f>IF(62&lt;=C9,H81*(C13-1),"")</f>
        <v/>
      </c>
      <c r="H82" s="35" t="str">
        <f>IF(62&lt;=C9,H81*C13+F82,"")</f>
        <v/>
      </c>
    </row>
    <row r="83" spans="5:8" x14ac:dyDescent="0.25">
      <c r="E83" s="30" t="str">
        <f>IF(63&lt;=C9,63,"")</f>
        <v/>
      </c>
      <c r="F83" s="31" t="str">
        <f>IF(63&lt;=C9,C7,"")</f>
        <v/>
      </c>
      <c r="G83" s="32" t="str">
        <f>IF(63&lt;=C9,H82*(C13-1),"")</f>
        <v/>
      </c>
      <c r="H83" s="32" t="str">
        <f>IF(63&lt;=C9,H82*C13+F83,"")</f>
        <v/>
      </c>
    </row>
    <row r="84" spans="5:8" x14ac:dyDescent="0.25">
      <c r="E84" s="33" t="str">
        <f>IF(64&lt;=C9,64,"")</f>
        <v/>
      </c>
      <c r="F84" s="34" t="str">
        <f>IF(64&lt;=C9,C7,"")</f>
        <v/>
      </c>
      <c r="G84" s="35" t="str">
        <f>IF(64&lt;=C9,H83*(C13-1),"")</f>
        <v/>
      </c>
      <c r="H84" s="35" t="str">
        <f>IF(64&lt;=C9,H83*C13+F84,"")</f>
        <v/>
      </c>
    </row>
    <row r="85" spans="5:8" x14ac:dyDescent="0.25">
      <c r="E85" s="30" t="str">
        <f>IF(65&lt;=C9,65,"")</f>
        <v/>
      </c>
      <c r="F85" s="31" t="str">
        <f>IF(65&lt;=C9,C7,"")</f>
        <v/>
      </c>
      <c r="G85" s="32" t="str">
        <f>IF(65&lt;=C9,H84*(C13-1),"")</f>
        <v/>
      </c>
      <c r="H85" s="32" t="str">
        <f>IF(65&lt;=C9,H84*C13+F85,"")</f>
        <v/>
      </c>
    </row>
    <row r="86" spans="5:8" x14ac:dyDescent="0.25">
      <c r="E86" s="33" t="str">
        <f>IF(66&lt;=C9,66,"")</f>
        <v/>
      </c>
      <c r="F86" s="34" t="str">
        <f>IF(66&lt;=C9,C7,"")</f>
        <v/>
      </c>
      <c r="G86" s="35" t="str">
        <f>IF(66&lt;=C9,H85*(C13-1),"")</f>
        <v/>
      </c>
      <c r="H86" s="35" t="str">
        <f>IF(66&lt;=C9,H85*C13+F86,"")</f>
        <v/>
      </c>
    </row>
    <row r="87" spans="5:8" x14ac:dyDescent="0.25">
      <c r="E87" s="30" t="str">
        <f>IF(67&lt;=C9,67,"")</f>
        <v/>
      </c>
      <c r="F87" s="31" t="str">
        <f>IF(67&lt;=C9,C7,"")</f>
        <v/>
      </c>
      <c r="G87" s="32" t="str">
        <f>IF(67&lt;=C9,H86*(C13-1),"")</f>
        <v/>
      </c>
      <c r="H87" s="32" t="str">
        <f>IF(67&lt;=C9,H86*C13+F87,"")</f>
        <v/>
      </c>
    </row>
    <row r="88" spans="5:8" x14ac:dyDescent="0.25">
      <c r="E88" s="33" t="str">
        <f>IF(68&lt;=C9,68,"")</f>
        <v/>
      </c>
      <c r="F88" s="34" t="str">
        <f>IF(68&lt;=C9,C7,"")</f>
        <v/>
      </c>
      <c r="G88" s="35" t="str">
        <f>IF(68&lt;=C9,H87*(C13-1),"")</f>
        <v/>
      </c>
      <c r="H88" s="35" t="str">
        <f>IF(68&lt;=C9,H87*C13+F88,"")</f>
        <v/>
      </c>
    </row>
    <row r="89" spans="5:8" x14ac:dyDescent="0.25">
      <c r="E89" s="30" t="str">
        <f>IF(69&lt;=C9,69,"")</f>
        <v/>
      </c>
      <c r="F89" s="31" t="str">
        <f>IF(69&lt;=C9,C7,"")</f>
        <v/>
      </c>
      <c r="G89" s="32" t="str">
        <f>IF(69&lt;=C9,H88*(C13-1),"")</f>
        <v/>
      </c>
      <c r="H89" s="32" t="str">
        <f>IF(69&lt;=C9,H88*C13+F89,"")</f>
        <v/>
      </c>
    </row>
    <row r="90" spans="5:8" x14ac:dyDescent="0.25">
      <c r="E90" s="33" t="str">
        <f>IF(70&lt;=C9,70,"")</f>
        <v/>
      </c>
      <c r="F90" s="34" t="str">
        <f>IF(70&lt;=C9,C7,"")</f>
        <v/>
      </c>
      <c r="G90" s="35" t="str">
        <f>IF(70&lt;=C9,H89*(C13-1),"")</f>
        <v/>
      </c>
      <c r="H90" s="35" t="str">
        <f>IF(70&lt;=C9,H89*C13+F90,"")</f>
        <v/>
      </c>
    </row>
    <row r="91" spans="5:8" x14ac:dyDescent="0.25">
      <c r="E91" s="30" t="str">
        <f>IF(71&lt;=C9,71,"")</f>
        <v/>
      </c>
      <c r="F91" s="31" t="str">
        <f>IF(71&lt;=C9,C7,"")</f>
        <v/>
      </c>
      <c r="G91" s="32" t="str">
        <f>IF(71&lt;=C9,H90*(C13-1),"")</f>
        <v/>
      </c>
      <c r="H91" s="32" t="str">
        <f>IF(71&lt;=C9,H90*C13+F91,"")</f>
        <v/>
      </c>
    </row>
    <row r="92" spans="5:8" x14ac:dyDescent="0.25">
      <c r="E92" s="33" t="str">
        <f>IF(72&lt;=C9,72,"")</f>
        <v/>
      </c>
      <c r="F92" s="34" t="str">
        <f>IF(72&lt;=C9,C7,"")</f>
        <v/>
      </c>
      <c r="G92" s="35" t="str">
        <f>IF(72&lt;=C9,H91*(C13-1),"")</f>
        <v/>
      </c>
      <c r="H92" s="35" t="str">
        <f>IF(72&lt;=C9,H91*C13+F92,"")</f>
        <v/>
      </c>
    </row>
    <row r="93" spans="5:8" x14ac:dyDescent="0.25">
      <c r="E93" s="30" t="str">
        <f>IF(73&lt;=C9,73,"")</f>
        <v/>
      </c>
      <c r="F93" s="31" t="str">
        <f>IF(73&lt;=C9,C7,"")</f>
        <v/>
      </c>
      <c r="G93" s="32" t="str">
        <f>IF(73&lt;=C9,H92*(C13-1),"")</f>
        <v/>
      </c>
      <c r="H93" s="32" t="str">
        <f>IF(73&lt;=C9,H92*C13+F93,"")</f>
        <v/>
      </c>
    </row>
    <row r="94" spans="5:8" x14ac:dyDescent="0.25">
      <c r="E94" s="33" t="str">
        <f>IF(74&lt;=C9,74,"")</f>
        <v/>
      </c>
      <c r="F94" s="34" t="str">
        <f>IF(74&lt;=C9,C7,"")</f>
        <v/>
      </c>
      <c r="G94" s="35" t="str">
        <f>IF(74&lt;=C9,H93*(C13-1),"")</f>
        <v/>
      </c>
      <c r="H94" s="35" t="str">
        <f>IF(74&lt;=C9,H93*C13+F94,"")</f>
        <v/>
      </c>
    </row>
    <row r="95" spans="5:8" x14ac:dyDescent="0.25">
      <c r="E95" s="30" t="str">
        <f>IF(75&lt;=C9,75,"")</f>
        <v/>
      </c>
      <c r="F95" s="31" t="str">
        <f>IF(75&lt;=C9,C7,"")</f>
        <v/>
      </c>
      <c r="G95" s="32" t="str">
        <f>IF(75&lt;=C9,H94*(C13-1),"")</f>
        <v/>
      </c>
      <c r="H95" s="32" t="str">
        <f>IF(75&lt;=C9,H94*C13+F95,"")</f>
        <v/>
      </c>
    </row>
    <row r="96" spans="5:8" x14ac:dyDescent="0.25">
      <c r="E96" s="33" t="str">
        <f>IF(76&lt;=C9,76,"")</f>
        <v/>
      </c>
      <c r="F96" s="34" t="str">
        <f>IF(76&lt;=C9,C7,"")</f>
        <v/>
      </c>
      <c r="G96" s="35" t="str">
        <f>IF(76&lt;=C9,H95*(C13-1),"")</f>
        <v/>
      </c>
      <c r="H96" s="35" t="str">
        <f>IF(76&lt;=C9,H95*C13+F96,"")</f>
        <v/>
      </c>
    </row>
    <row r="97" spans="5:8" x14ac:dyDescent="0.25">
      <c r="E97" s="30" t="str">
        <f>IF(77&lt;=C9,77,"")</f>
        <v/>
      </c>
      <c r="F97" s="31" t="str">
        <f>IF(77&lt;=C9,C7,"")</f>
        <v/>
      </c>
      <c r="G97" s="32" t="str">
        <f>IF(77&lt;=C9,H96*(C13-1),"")</f>
        <v/>
      </c>
      <c r="H97" s="32" t="str">
        <f>IF(77&lt;=C9,H96*C13+F97,"")</f>
        <v/>
      </c>
    </row>
    <row r="98" spans="5:8" x14ac:dyDescent="0.25">
      <c r="E98" s="33" t="str">
        <f>IF(78&lt;=C9,78,"")</f>
        <v/>
      </c>
      <c r="F98" s="34" t="str">
        <f>IF(78&lt;=C9,C7,"")</f>
        <v/>
      </c>
      <c r="G98" s="35" t="str">
        <f>IF(78&lt;=C9,H97*(C13-1),"")</f>
        <v/>
      </c>
      <c r="H98" s="35" t="str">
        <f>IF(78&lt;=C9,H97*C13+F98,"")</f>
        <v/>
      </c>
    </row>
    <row r="99" spans="5:8" x14ac:dyDescent="0.25">
      <c r="E99" s="30" t="str">
        <f>IF(79&lt;=C9,79,"")</f>
        <v/>
      </c>
      <c r="F99" s="31" t="str">
        <f>IF(79&lt;=C9,C7,"")</f>
        <v/>
      </c>
      <c r="G99" s="32" t="str">
        <f>IF(79&lt;=C9,H98*(C13-1),"")</f>
        <v/>
      </c>
      <c r="H99" s="32" t="str">
        <f>IF(79&lt;=C9,H98*C13+F99,"")</f>
        <v/>
      </c>
    </row>
    <row r="100" spans="5:8" x14ac:dyDescent="0.25">
      <c r="E100" s="33" t="str">
        <f>IF(80&lt;=C9,80,"")</f>
        <v/>
      </c>
      <c r="F100" s="34" t="str">
        <f>IF(80&lt;=C9,C7,"")</f>
        <v/>
      </c>
      <c r="G100" s="35" t="str">
        <f>IF(80&lt;=C9,H99*(C13-1),"")</f>
        <v/>
      </c>
      <c r="H100" s="35" t="str">
        <f>IF(80&lt;=C9,H99*C13+F100,"")</f>
        <v/>
      </c>
    </row>
    <row r="101" spans="5:8" x14ac:dyDescent="0.25">
      <c r="E101" s="30" t="str">
        <f>IF(81&lt;=C9,81,"")</f>
        <v/>
      </c>
      <c r="F101" s="31" t="str">
        <f>IF(81&lt;=C9,C7,"")</f>
        <v/>
      </c>
      <c r="G101" s="32" t="str">
        <f>IF(81&lt;=C9,H100*(C13-1),"")</f>
        <v/>
      </c>
      <c r="H101" s="32" t="str">
        <f>IF(81&lt;=C9,H100*C13+F101,"")</f>
        <v/>
      </c>
    </row>
    <row r="102" spans="5:8" x14ac:dyDescent="0.25">
      <c r="E102" s="33" t="str">
        <f>IF(82&lt;=C9,82,"")</f>
        <v/>
      </c>
      <c r="F102" s="34" t="str">
        <f>IF(82&lt;=C9,C7,"")</f>
        <v/>
      </c>
      <c r="G102" s="35" t="str">
        <f>IF(82&lt;=C9,H101*(C13-1),"")</f>
        <v/>
      </c>
      <c r="H102" s="35" t="str">
        <f>IF(82&lt;=C9,H101*C13+F102,"")</f>
        <v/>
      </c>
    </row>
    <row r="103" spans="5:8" x14ac:dyDescent="0.25">
      <c r="E103" s="30" t="str">
        <f>IF(83&lt;=C9,83,"")</f>
        <v/>
      </c>
      <c r="F103" s="31" t="str">
        <f>IF(83&lt;=C9,C7,"")</f>
        <v/>
      </c>
      <c r="G103" s="32" t="str">
        <f>IF(83&lt;=C9,H102*(C13-1),"")</f>
        <v/>
      </c>
      <c r="H103" s="32" t="str">
        <f>IF(83&lt;=C9,H102*C13+F103,"")</f>
        <v/>
      </c>
    </row>
    <row r="104" spans="5:8" x14ac:dyDescent="0.25">
      <c r="E104" s="33" t="str">
        <f>IF(84&lt;=C9,84,"")</f>
        <v/>
      </c>
      <c r="F104" s="34" t="str">
        <f>IF(84&lt;=C9,C7,"")</f>
        <v/>
      </c>
      <c r="G104" s="35" t="str">
        <f>IF(84&lt;=C9,H103*(C13-1),"")</f>
        <v/>
      </c>
      <c r="H104" s="35" t="str">
        <f>IF(84&lt;=C9,H103*C13+F104,"")</f>
        <v/>
      </c>
    </row>
    <row r="105" spans="5:8" x14ac:dyDescent="0.25">
      <c r="E105" s="30" t="str">
        <f>IF(85&lt;=C9,85,"")</f>
        <v/>
      </c>
      <c r="F105" s="31" t="str">
        <f>IF(85&lt;=C9,C7,"")</f>
        <v/>
      </c>
      <c r="G105" s="32" t="str">
        <f>IF(85&lt;=C9,H104*(C13-1),"")</f>
        <v/>
      </c>
      <c r="H105" s="32" t="str">
        <f>IF(85&lt;=C9,H104*C13+F105,"")</f>
        <v/>
      </c>
    </row>
    <row r="106" spans="5:8" x14ac:dyDescent="0.25">
      <c r="E106" s="33" t="str">
        <f>IF(86&lt;=C9,86,"")</f>
        <v/>
      </c>
      <c r="F106" s="34" t="str">
        <f>IF(86&lt;=C9,C7,"")</f>
        <v/>
      </c>
      <c r="G106" s="35" t="str">
        <f>IF(86&lt;=C9,H105*(C13-1),"")</f>
        <v/>
      </c>
      <c r="H106" s="35" t="str">
        <f>IF(86&lt;=C9,H105*C13+F106,"")</f>
        <v/>
      </c>
    </row>
    <row r="107" spans="5:8" x14ac:dyDescent="0.25">
      <c r="E107" s="30" t="str">
        <f>IF(87&lt;=C9,87,"")</f>
        <v/>
      </c>
      <c r="F107" s="31" t="str">
        <f>IF(87&lt;=C9,C7,"")</f>
        <v/>
      </c>
      <c r="G107" s="32" t="str">
        <f>IF(87&lt;=C9,H106*(C13-1),"")</f>
        <v/>
      </c>
      <c r="H107" s="32" t="str">
        <f>IF(87&lt;=C9,H106*C13+F107,"")</f>
        <v/>
      </c>
    </row>
    <row r="108" spans="5:8" x14ac:dyDescent="0.25">
      <c r="E108" s="33" t="str">
        <f>IF(88&lt;=C9,88,"")</f>
        <v/>
      </c>
      <c r="F108" s="34" t="str">
        <f>IF(88&lt;=C9,C7,"")</f>
        <v/>
      </c>
      <c r="G108" s="35" t="str">
        <f>IF(88&lt;=C9,H107*(C13-1),"")</f>
        <v/>
      </c>
      <c r="H108" s="35" t="str">
        <f>IF(88&lt;=C9,H107*C13+F108,"")</f>
        <v/>
      </c>
    </row>
    <row r="109" spans="5:8" x14ac:dyDescent="0.25">
      <c r="E109" s="30" t="str">
        <f>IF(89&lt;=C9,89,"")</f>
        <v/>
      </c>
      <c r="F109" s="31" t="str">
        <f>IF(89&lt;=C9,C7,"")</f>
        <v/>
      </c>
      <c r="G109" s="32" t="str">
        <f>IF(89&lt;=C9,H108*(C13-1),"")</f>
        <v/>
      </c>
      <c r="H109" s="32" t="str">
        <f>IF(89&lt;=C9,H108*C13+F109,"")</f>
        <v/>
      </c>
    </row>
    <row r="110" spans="5:8" x14ac:dyDescent="0.25">
      <c r="E110" s="33" t="str">
        <f>IF(90&lt;=C9,90,"")</f>
        <v/>
      </c>
      <c r="F110" s="34" t="str">
        <f>IF(90&lt;=C9,C7,"")</f>
        <v/>
      </c>
      <c r="G110" s="35" t="str">
        <f>IF(90&lt;=C9,H109*(C13-1),"")</f>
        <v/>
      </c>
      <c r="H110" s="35" t="str">
        <f>IF(90&lt;=C9,H109*C13+F110,"")</f>
        <v/>
      </c>
    </row>
    <row r="111" spans="5:8" x14ac:dyDescent="0.25">
      <c r="E111" s="30" t="str">
        <f>IF(91&lt;=C9,91,"")</f>
        <v/>
      </c>
      <c r="F111" s="31" t="str">
        <f>IF(91&lt;=C9,C7,"")</f>
        <v/>
      </c>
      <c r="G111" s="32" t="str">
        <f>IF(91&lt;=C9,H110*(C13-1),"")</f>
        <v/>
      </c>
      <c r="H111" s="32" t="str">
        <f>IF(91&lt;=C9,H110*C13+F111,"")</f>
        <v/>
      </c>
    </row>
    <row r="112" spans="5:8" x14ac:dyDescent="0.25">
      <c r="E112" s="33" t="str">
        <f>IF(92&lt;=C9,92,"")</f>
        <v/>
      </c>
      <c r="F112" s="34" t="str">
        <f>IF(92&lt;=C9,C7,"")</f>
        <v/>
      </c>
      <c r="G112" s="35" t="str">
        <f>IF(92&lt;=C9,H111*(C13-1),"")</f>
        <v/>
      </c>
      <c r="H112" s="35" t="str">
        <f>IF(92&lt;=C9,H111*C13+F112,"")</f>
        <v/>
      </c>
    </row>
    <row r="113" spans="5:8" x14ac:dyDescent="0.25">
      <c r="E113" s="30" t="str">
        <f>IF(93&lt;=C9,93,"")</f>
        <v/>
      </c>
      <c r="F113" s="31" t="str">
        <f>IF(93&lt;=C9,C7,"")</f>
        <v/>
      </c>
      <c r="G113" s="32" t="str">
        <f>IF(93&lt;=C9,H112*(C13-1),"")</f>
        <v/>
      </c>
      <c r="H113" s="32" t="str">
        <f>IF(93&lt;=C9,H112*C13+F113,"")</f>
        <v/>
      </c>
    </row>
    <row r="114" spans="5:8" x14ac:dyDescent="0.25">
      <c r="E114" s="33" t="str">
        <f>IF(94&lt;=C9,94,"")</f>
        <v/>
      </c>
      <c r="F114" s="34" t="str">
        <f>IF(94&lt;=C9,C7,"")</f>
        <v/>
      </c>
      <c r="G114" s="35" t="str">
        <f>IF(94&lt;=C9,H113*(C13-1),"")</f>
        <v/>
      </c>
      <c r="H114" s="35" t="str">
        <f>IF(94&lt;=C9,H113*C13+F114,"")</f>
        <v/>
      </c>
    </row>
    <row r="115" spans="5:8" x14ac:dyDescent="0.25">
      <c r="E115" s="30" t="str">
        <f>IF(95&lt;=C9,95,"")</f>
        <v/>
      </c>
      <c r="F115" s="31" t="str">
        <f>IF(95&lt;=C9,C7,"")</f>
        <v/>
      </c>
      <c r="G115" s="32" t="str">
        <f>IF(95&lt;=C9,H114*(C13-1),"")</f>
        <v/>
      </c>
      <c r="H115" s="32" t="str">
        <f>IF(95&lt;=C9,H114*C13+F115,"")</f>
        <v/>
      </c>
    </row>
    <row r="116" spans="5:8" x14ac:dyDescent="0.25">
      <c r="E116" s="33" t="str">
        <f>IF(96&lt;=C9,96,"")</f>
        <v/>
      </c>
      <c r="F116" s="34" t="str">
        <f>IF(96&lt;=C9,C7,"")</f>
        <v/>
      </c>
      <c r="G116" s="35" t="str">
        <f>IF(96&lt;=C9,H115*(C13-1),"")</f>
        <v/>
      </c>
      <c r="H116" s="35" t="str">
        <f>IF(96&lt;=C9,H115*C13+F116,"")</f>
        <v/>
      </c>
    </row>
    <row r="117" spans="5:8" x14ac:dyDescent="0.25">
      <c r="E117" s="30" t="str">
        <f>IF(97&lt;=C9,97,"")</f>
        <v/>
      </c>
      <c r="F117" s="31" t="str">
        <f>IF(97&lt;=C9,C7,"")</f>
        <v/>
      </c>
      <c r="G117" s="32" t="str">
        <f>IF(97&lt;=C9,H116*(C13-1),"")</f>
        <v/>
      </c>
      <c r="H117" s="32" t="str">
        <f>IF(97&lt;=C9,H116*C13+F117,"")</f>
        <v/>
      </c>
    </row>
    <row r="118" spans="5:8" x14ac:dyDescent="0.25">
      <c r="E118" s="33" t="str">
        <f>IF(98&lt;=C9,98,"")</f>
        <v/>
      </c>
      <c r="F118" s="34" t="str">
        <f>IF(98&lt;=C9,C7,"")</f>
        <v/>
      </c>
      <c r="G118" s="35" t="str">
        <f>IF(98&lt;=C9,H117*(C13-1),"")</f>
        <v/>
      </c>
      <c r="H118" s="35" t="str">
        <f>IF(98&lt;=C9,H117*C13+F118,"")</f>
        <v/>
      </c>
    </row>
    <row r="119" spans="5:8" x14ac:dyDescent="0.25">
      <c r="E119" s="30" t="str">
        <f>IF(99&lt;=C9,99,"")</f>
        <v/>
      </c>
      <c r="F119" s="31" t="str">
        <f>IF(99&lt;=C9,C7,"")</f>
        <v/>
      </c>
      <c r="G119" s="32" t="str">
        <f>IF(99&lt;=C9,H118*(C13-1),"")</f>
        <v/>
      </c>
      <c r="H119" s="32" t="str">
        <f>IF(99&lt;=C9,H118*C13+F119,"")</f>
        <v/>
      </c>
    </row>
    <row r="120" spans="5:8" x14ac:dyDescent="0.25">
      <c r="E120" s="33" t="str">
        <f>IF(100&lt;=C9,100,"")</f>
        <v/>
      </c>
      <c r="F120" s="34" t="str">
        <f>IF(100&lt;=C9,C7,"")</f>
        <v/>
      </c>
      <c r="G120" s="35" t="str">
        <f>IF(100&lt;=C9,H119*(C13-1),"")</f>
        <v/>
      </c>
      <c r="H120" s="35" t="str">
        <f>IF(100&lt;=C9,H119*C13+F120,"")</f>
        <v/>
      </c>
    </row>
    <row r="121" spans="5:8" x14ac:dyDescent="0.25">
      <c r="E121" s="30" t="str">
        <f>IF(101&lt;=C9,101,"")</f>
        <v/>
      </c>
      <c r="F121" s="31" t="str">
        <f>IF(101&lt;=C9,C7,"")</f>
        <v/>
      </c>
      <c r="G121" s="32" t="str">
        <f>IF(101&lt;=C9,H120*(C13-1),"")</f>
        <v/>
      </c>
      <c r="H121" s="32" t="str">
        <f>IF(101&lt;=C9,H120*C13+F121,"")</f>
        <v/>
      </c>
    </row>
    <row r="122" spans="5:8" x14ac:dyDescent="0.25">
      <c r="E122" s="33" t="str">
        <f>IF(102&lt;=C9,102,"")</f>
        <v/>
      </c>
      <c r="F122" s="34" t="str">
        <f>IF(102&lt;=C9,C7,"")</f>
        <v/>
      </c>
      <c r="G122" s="35" t="str">
        <f>IF(102&lt;=C9,H121*(C13-1),"")</f>
        <v/>
      </c>
      <c r="H122" s="35" t="str">
        <f>IF(102&lt;=C9,H121*C13+F122,"")</f>
        <v/>
      </c>
    </row>
    <row r="123" spans="5:8" x14ac:dyDescent="0.25">
      <c r="E123" s="30" t="str">
        <f>IF(103&lt;=C9,103,"")</f>
        <v/>
      </c>
      <c r="F123" s="31" t="str">
        <f>IF(103&lt;=C9,C7,"")</f>
        <v/>
      </c>
      <c r="G123" s="32" t="str">
        <f>IF(103&lt;=C9,H122*(C13-1),"")</f>
        <v/>
      </c>
      <c r="H123" s="32" t="str">
        <f>IF(103&lt;=C9,H122*C13+F123,"")</f>
        <v/>
      </c>
    </row>
    <row r="124" spans="5:8" x14ac:dyDescent="0.25">
      <c r="E124" s="33" t="str">
        <f>IF(104&lt;=C9,104,"")</f>
        <v/>
      </c>
      <c r="F124" s="34" t="str">
        <f>IF(104&lt;=C9,C7,"")</f>
        <v/>
      </c>
      <c r="G124" s="35" t="str">
        <f>IF(104&lt;=C9,H123*(C13-1),"")</f>
        <v/>
      </c>
      <c r="H124" s="35" t="str">
        <f>IF(104&lt;=C9,H123*C13+F124,"")</f>
        <v/>
      </c>
    </row>
    <row r="125" spans="5:8" x14ac:dyDescent="0.25">
      <c r="E125" s="30" t="str">
        <f>IF(105&lt;=C9,105,"")</f>
        <v/>
      </c>
      <c r="F125" s="31" t="str">
        <f>IF(105&lt;=C9,C7,"")</f>
        <v/>
      </c>
      <c r="G125" s="32" t="str">
        <f>IF(105&lt;=C9,H124*(C13-1),"")</f>
        <v/>
      </c>
      <c r="H125" s="32" t="str">
        <f>IF(105&lt;=C9,H124*C13+F125,"")</f>
        <v/>
      </c>
    </row>
    <row r="126" spans="5:8" x14ac:dyDescent="0.25">
      <c r="E126" s="33" t="str">
        <f>IF(106&lt;=C9,106,"")</f>
        <v/>
      </c>
      <c r="F126" s="34" t="str">
        <f>IF(106&lt;=C9,C7,"")</f>
        <v/>
      </c>
      <c r="G126" s="35" t="str">
        <f>IF(106&lt;=C9,H125*(C13-1),"")</f>
        <v/>
      </c>
      <c r="H126" s="35" t="str">
        <f>IF(106&lt;=C9,H125*C13+F126,"")</f>
        <v/>
      </c>
    </row>
    <row r="127" spans="5:8" x14ac:dyDescent="0.25">
      <c r="E127" s="30" t="str">
        <f>IF(107&lt;=C9,107,"")</f>
        <v/>
      </c>
      <c r="F127" s="31" t="str">
        <f>IF(107&lt;=C9,C7,"")</f>
        <v/>
      </c>
      <c r="G127" s="32" t="str">
        <f>IF(107&lt;=C9,H126*(C13-1),"")</f>
        <v/>
      </c>
      <c r="H127" s="32" t="str">
        <f>IF(107&lt;=C9,H126*C13+F127,"")</f>
        <v/>
      </c>
    </row>
    <row r="128" spans="5:8" x14ac:dyDescent="0.25">
      <c r="E128" s="33" t="str">
        <f>IF(108&lt;=C9,108,"")</f>
        <v/>
      </c>
      <c r="F128" s="34" t="str">
        <f>IF(108&lt;=C9,C7,"")</f>
        <v/>
      </c>
      <c r="G128" s="35" t="str">
        <f>IF(108&lt;=C9,H127*(C13-1),"")</f>
        <v/>
      </c>
      <c r="H128" s="35" t="str">
        <f>IF(108&lt;=C9,H127*C13+F128,"")</f>
        <v/>
      </c>
    </row>
    <row r="129" spans="1:8" x14ac:dyDescent="0.25">
      <c r="E129" s="30" t="str">
        <f>IF(109&lt;=C9,109,"")</f>
        <v/>
      </c>
      <c r="F129" s="31" t="str">
        <f>IF(109&lt;=C9,C7,"")</f>
        <v/>
      </c>
      <c r="G129" s="32" t="str">
        <f>IF(109&lt;=C9,H128*(C13-1),"")</f>
        <v/>
      </c>
      <c r="H129" s="32" t="str">
        <f>IF(109&lt;=C9,H128*C13+F129,"")</f>
        <v/>
      </c>
    </row>
    <row r="130" spans="1:8" x14ac:dyDescent="0.25">
      <c r="E130" s="33" t="str">
        <f>IF(110&lt;=C9,110,"")</f>
        <v/>
      </c>
      <c r="F130" s="34" t="str">
        <f>IF(110&lt;=C9,C7,"")</f>
        <v/>
      </c>
      <c r="G130" s="35" t="str">
        <f>IF(110&lt;=C9,H129*(C13-1),"")</f>
        <v/>
      </c>
      <c r="H130" s="35" t="str">
        <f>IF(110&lt;=C9,H129*C13+F130,"")</f>
        <v/>
      </c>
    </row>
    <row r="131" spans="1:8" x14ac:dyDescent="0.25">
      <c r="E131" s="30" t="str">
        <f>IF(111&lt;=C9,111,"")</f>
        <v/>
      </c>
      <c r="F131" s="31" t="str">
        <f>IF(111&lt;=C9,C7,"")</f>
        <v/>
      </c>
      <c r="G131" s="32" t="str">
        <f>IF(111&lt;=C9,H130*(C13-1),"")</f>
        <v/>
      </c>
      <c r="H131" s="32" t="str">
        <f>IF(111&lt;=C9,H130*C13+F131,"")</f>
        <v/>
      </c>
    </row>
    <row r="132" spans="1:8" x14ac:dyDescent="0.25">
      <c r="E132" s="33" t="str">
        <f>IF(112&lt;=C9,112,"")</f>
        <v/>
      </c>
      <c r="F132" s="34" t="str">
        <f>IF(112&lt;=C9,C7,"")</f>
        <v/>
      </c>
      <c r="G132" s="35" t="str">
        <f>IF(112&lt;=C9,H131*(C13-1),"")</f>
        <v/>
      </c>
      <c r="H132" s="35" t="str">
        <f>IF(112&lt;=C9,H131*C13+F132,"")</f>
        <v/>
      </c>
    </row>
    <row r="133" spans="1:8" x14ac:dyDescent="0.25">
      <c r="E133" s="30" t="str">
        <f>IF(113&lt;=C9,113,"")</f>
        <v/>
      </c>
      <c r="F133" s="31" t="str">
        <f>IF(113&lt;=C9,C7,"")</f>
        <v/>
      </c>
      <c r="G133" s="32" t="str">
        <f>IF(113&lt;=C9,H132*(C13-1),"")</f>
        <v/>
      </c>
      <c r="H133" s="32" t="str">
        <f>IF(113&lt;=C9,H132*C13+F133,"")</f>
        <v/>
      </c>
    </row>
    <row r="134" spans="1:8" x14ac:dyDescent="0.25">
      <c r="E134" s="33" t="str">
        <f>IF(114&lt;=C9,114,"")</f>
        <v/>
      </c>
      <c r="F134" s="34" t="str">
        <f>IF(114&lt;=C9,C7,"")</f>
        <v/>
      </c>
      <c r="G134" s="35" t="str">
        <f>IF(114&lt;=C9,H133*(C13-1),"")</f>
        <v/>
      </c>
      <c r="H134" s="35" t="str">
        <f>IF(114&lt;=C9,H133*C13+F134,"")</f>
        <v/>
      </c>
    </row>
    <row r="135" spans="1:8" x14ac:dyDescent="0.25">
      <c r="E135" s="30" t="str">
        <f>IF(115&lt;=C9,115,"")</f>
        <v/>
      </c>
      <c r="F135" s="31" t="str">
        <f>IF(115&lt;=C9,C7,"")</f>
        <v/>
      </c>
      <c r="G135" s="32" t="str">
        <f>IF(115&lt;=C9,H134*(C13-1),"")</f>
        <v/>
      </c>
      <c r="H135" s="32" t="str">
        <f>IF(115&lt;=C9,H134*C13+F135,"")</f>
        <v/>
      </c>
    </row>
    <row r="136" spans="1:8" x14ac:dyDescent="0.25">
      <c r="E136" s="33" t="str">
        <f>IF(116&lt;=C9,116,"")</f>
        <v/>
      </c>
      <c r="F136" s="34" t="str">
        <f>IF(116&lt;=C9,C7,"")</f>
        <v/>
      </c>
      <c r="G136" s="35" t="str">
        <f>IF(116&lt;=C9,H135*(C13-1),"")</f>
        <v/>
      </c>
      <c r="H136" s="35" t="str">
        <f>IF(116&lt;=C9,H135*C13+F136,"")</f>
        <v/>
      </c>
    </row>
    <row r="137" spans="1:8" x14ac:dyDescent="0.25">
      <c r="E137" s="30" t="str">
        <f>IF(117&lt;=C9,117,"")</f>
        <v/>
      </c>
      <c r="F137" s="31" t="str">
        <f>IF(117&lt;=C9,C7,"")</f>
        <v/>
      </c>
      <c r="G137" s="32" t="str">
        <f>IF(117&lt;=C9,H136*(C13-1),"")</f>
        <v/>
      </c>
      <c r="H137" s="32" t="str">
        <f>IF(117&lt;=C9,H136*C13+F137,"")</f>
        <v/>
      </c>
    </row>
    <row r="138" spans="1:8" x14ac:dyDescent="0.25">
      <c r="E138" s="33" t="str">
        <f>IF(118&lt;=C9,118,"")</f>
        <v/>
      </c>
      <c r="F138" s="34" t="str">
        <f>IF(118&lt;=C9,C7,"")</f>
        <v/>
      </c>
      <c r="G138" s="35" t="str">
        <f>IF(118&lt;=C9,H137*(C13-1),"")</f>
        <v/>
      </c>
      <c r="H138" s="35" t="str">
        <f>IF(118&lt;=C9,H137*C13+F138,"")</f>
        <v/>
      </c>
    </row>
    <row r="139" spans="1:8" x14ac:dyDescent="0.25">
      <c r="E139" s="30" t="str">
        <f>IF(119&lt;=C9,119,"")</f>
        <v/>
      </c>
      <c r="F139" s="31" t="str">
        <f>IF(119&lt;=C9,C7,"")</f>
        <v/>
      </c>
      <c r="G139" s="32" t="str">
        <f>IF(119&lt;=C9,H138*(C13-1),"")</f>
        <v/>
      </c>
      <c r="H139" s="32" t="str">
        <f>IF(119&lt;=C9,H138*C13+F139,"")</f>
        <v/>
      </c>
    </row>
    <row r="140" spans="1:8" x14ac:dyDescent="0.25">
      <c r="E140" s="33" t="str">
        <f>IF(120&lt;=C9,120,"")</f>
        <v/>
      </c>
      <c r="F140" s="34" t="str">
        <f>IF(120&lt;=C9,C7,"")</f>
        <v/>
      </c>
      <c r="G140" s="35" t="str">
        <f>IF(120&lt;=C9,H139*(C13-1),"")</f>
        <v/>
      </c>
      <c r="H140" s="35" t="str">
        <f>IF(120&lt;=C9,H139*C13+F140,"")</f>
        <v/>
      </c>
    </row>
    <row r="143" spans="1:8" ht="18" customHeight="1" x14ac:dyDescent="0.25">
      <c r="A143" s="2" t="s">
        <v>11</v>
      </c>
      <c r="B143" s="2"/>
      <c r="C143" s="2"/>
      <c r="D143" s="2"/>
      <c r="E143" s="2"/>
      <c r="F143" s="2"/>
      <c r="G143" s="2"/>
      <c r="H143" s="2"/>
    </row>
  </sheetData>
  <sheetProtection password="BBBC" sheet="1" objects="1" scenarios="1" autoFilter="0"/>
  <mergeCells count="8">
    <mergeCell ref="A11:H11"/>
    <mergeCell ref="A19:H19"/>
    <mergeCell ref="A143:H143"/>
    <mergeCell ref="A1:H1"/>
    <mergeCell ref="A2:H2"/>
    <mergeCell ref="A3:H3"/>
    <mergeCell ref="A4:H4"/>
    <mergeCell ref="A6:H6"/>
  </mergeCells>
  <pageMargins left="0.75" right="0.75" top="1" bottom="1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Cover</vt:lpstr>
      <vt:lpstr>FD Calculator</vt:lpstr>
      <vt:lpstr>RD Calculator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openpyxl</dc:creator>
  <dc:description/>
  <cp:lastModifiedBy>Tirumalesh Malla</cp:lastModifiedBy>
  <cp:revision>0</cp:revision>
  <dcterms:created xsi:type="dcterms:W3CDTF">2026-04-20T07:09:16Z</dcterms:created>
  <dcterms:modified xsi:type="dcterms:W3CDTF">2026-04-20T07:30:55Z</dcterms:modified>
  <dc:language>en-US</dc:language>
</cp:coreProperties>
</file>