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:\Claude\Website Development\calcguru-excel-utilities\"/>
    </mc:Choice>
  </mc:AlternateContent>
  <xr:revisionPtr revIDLastSave="0" documentId="13_ncr:1_{38BCF3FB-0605-4B86-BABF-C1E3E19E4677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Cover" sheetId="1" r:id="rId1"/>
    <sheet name="Calculator" sheetId="2" r:id="rId2"/>
    <sheet name="Amortisation Schedule" sheetId="3" r:id="rId3"/>
    <sheet name="Yearly Summary" sheetId="4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36" i="4" l="1"/>
  <c r="D36" i="4"/>
  <c r="C36" i="4"/>
  <c r="B36" i="4"/>
  <c r="E35" i="4"/>
  <c r="D35" i="4"/>
  <c r="C35" i="4"/>
  <c r="B35" i="4"/>
  <c r="E34" i="4"/>
  <c r="D34" i="4"/>
  <c r="C34" i="4"/>
  <c r="B34" i="4"/>
  <c r="E33" i="4"/>
  <c r="D33" i="4"/>
  <c r="C33" i="4"/>
  <c r="B33" i="4"/>
  <c r="E32" i="4"/>
  <c r="D32" i="4"/>
  <c r="C32" i="4"/>
  <c r="B32" i="4"/>
  <c r="E31" i="4"/>
  <c r="D31" i="4"/>
  <c r="C31" i="4"/>
  <c r="B31" i="4"/>
  <c r="E30" i="4"/>
  <c r="D30" i="4"/>
  <c r="C30" i="4"/>
  <c r="B30" i="4"/>
  <c r="E29" i="4"/>
  <c r="D29" i="4"/>
  <c r="C29" i="4"/>
  <c r="B29" i="4"/>
  <c r="E28" i="4"/>
  <c r="D28" i="4"/>
  <c r="C28" i="4"/>
  <c r="B28" i="4"/>
  <c r="E27" i="4"/>
  <c r="D27" i="4"/>
  <c r="C27" i="4"/>
  <c r="B27" i="4"/>
  <c r="B26" i="4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G366" i="3"/>
  <c r="F366" i="3"/>
  <c r="E366" i="3"/>
  <c r="D366" i="3"/>
  <c r="C366" i="3"/>
  <c r="B366" i="3"/>
  <c r="G365" i="3"/>
  <c r="F365" i="3"/>
  <c r="E365" i="3"/>
  <c r="D365" i="3"/>
  <c r="C365" i="3"/>
  <c r="B365" i="3"/>
  <c r="G364" i="3"/>
  <c r="F364" i="3"/>
  <c r="E364" i="3"/>
  <c r="D364" i="3"/>
  <c r="C364" i="3"/>
  <c r="B364" i="3"/>
  <c r="G363" i="3"/>
  <c r="F363" i="3"/>
  <c r="E363" i="3"/>
  <c r="D363" i="3"/>
  <c r="C363" i="3"/>
  <c r="B363" i="3"/>
  <c r="G362" i="3"/>
  <c r="F362" i="3"/>
  <c r="E362" i="3"/>
  <c r="D362" i="3"/>
  <c r="C362" i="3"/>
  <c r="B362" i="3"/>
  <c r="G361" i="3"/>
  <c r="F361" i="3"/>
  <c r="E361" i="3"/>
  <c r="D361" i="3"/>
  <c r="C361" i="3"/>
  <c r="B361" i="3"/>
  <c r="G360" i="3"/>
  <c r="F360" i="3"/>
  <c r="E360" i="3"/>
  <c r="D360" i="3"/>
  <c r="C360" i="3"/>
  <c r="B360" i="3"/>
  <c r="G359" i="3"/>
  <c r="F359" i="3"/>
  <c r="E359" i="3"/>
  <c r="D359" i="3"/>
  <c r="C359" i="3"/>
  <c r="B359" i="3"/>
  <c r="G358" i="3"/>
  <c r="F358" i="3"/>
  <c r="E358" i="3"/>
  <c r="D358" i="3"/>
  <c r="C358" i="3"/>
  <c r="B358" i="3"/>
  <c r="G357" i="3"/>
  <c r="F357" i="3"/>
  <c r="E357" i="3"/>
  <c r="D357" i="3"/>
  <c r="C357" i="3"/>
  <c r="B357" i="3"/>
  <c r="G356" i="3"/>
  <c r="F356" i="3"/>
  <c r="E356" i="3"/>
  <c r="D356" i="3"/>
  <c r="C356" i="3"/>
  <c r="B356" i="3"/>
  <c r="G355" i="3"/>
  <c r="F355" i="3"/>
  <c r="E355" i="3"/>
  <c r="D355" i="3"/>
  <c r="C355" i="3"/>
  <c r="B355" i="3"/>
  <c r="G354" i="3"/>
  <c r="F354" i="3"/>
  <c r="E354" i="3"/>
  <c r="D354" i="3"/>
  <c r="C354" i="3"/>
  <c r="B354" i="3"/>
  <c r="G353" i="3"/>
  <c r="F353" i="3"/>
  <c r="E353" i="3"/>
  <c r="D353" i="3"/>
  <c r="C353" i="3"/>
  <c r="B353" i="3"/>
  <c r="G352" i="3"/>
  <c r="F352" i="3"/>
  <c r="E352" i="3"/>
  <c r="D352" i="3"/>
  <c r="C352" i="3"/>
  <c r="B352" i="3"/>
  <c r="G351" i="3"/>
  <c r="F351" i="3"/>
  <c r="E351" i="3"/>
  <c r="D351" i="3"/>
  <c r="C351" i="3"/>
  <c r="B351" i="3"/>
  <c r="G350" i="3"/>
  <c r="F350" i="3"/>
  <c r="E350" i="3"/>
  <c r="D350" i="3"/>
  <c r="C350" i="3"/>
  <c r="B350" i="3"/>
  <c r="G349" i="3"/>
  <c r="F349" i="3"/>
  <c r="E349" i="3"/>
  <c r="D349" i="3"/>
  <c r="C349" i="3"/>
  <c r="B349" i="3"/>
  <c r="G348" i="3"/>
  <c r="F348" i="3"/>
  <c r="E348" i="3"/>
  <c r="D348" i="3"/>
  <c r="C348" i="3"/>
  <c r="B348" i="3"/>
  <c r="G347" i="3"/>
  <c r="F347" i="3"/>
  <c r="E347" i="3"/>
  <c r="D347" i="3"/>
  <c r="C347" i="3"/>
  <c r="B347" i="3"/>
  <c r="G346" i="3"/>
  <c r="F346" i="3"/>
  <c r="E346" i="3"/>
  <c r="D346" i="3"/>
  <c r="C346" i="3"/>
  <c r="B346" i="3"/>
  <c r="G345" i="3"/>
  <c r="F345" i="3"/>
  <c r="E345" i="3"/>
  <c r="D345" i="3"/>
  <c r="C345" i="3"/>
  <c r="B345" i="3"/>
  <c r="G344" i="3"/>
  <c r="F344" i="3"/>
  <c r="E344" i="3"/>
  <c r="D344" i="3"/>
  <c r="C344" i="3"/>
  <c r="B344" i="3"/>
  <c r="G343" i="3"/>
  <c r="F343" i="3"/>
  <c r="E343" i="3"/>
  <c r="D343" i="3"/>
  <c r="C343" i="3"/>
  <c r="B343" i="3"/>
  <c r="G342" i="3"/>
  <c r="F342" i="3"/>
  <c r="E342" i="3"/>
  <c r="D342" i="3"/>
  <c r="C342" i="3"/>
  <c r="B342" i="3"/>
  <c r="G341" i="3"/>
  <c r="F341" i="3"/>
  <c r="E341" i="3"/>
  <c r="D341" i="3"/>
  <c r="C341" i="3"/>
  <c r="B341" i="3"/>
  <c r="G340" i="3"/>
  <c r="F340" i="3"/>
  <c r="E340" i="3"/>
  <c r="D340" i="3"/>
  <c r="C340" i="3"/>
  <c r="B340" i="3"/>
  <c r="G339" i="3"/>
  <c r="F339" i="3"/>
  <c r="E339" i="3"/>
  <c r="D339" i="3"/>
  <c r="C339" i="3"/>
  <c r="B339" i="3"/>
  <c r="G338" i="3"/>
  <c r="F338" i="3"/>
  <c r="E338" i="3"/>
  <c r="D338" i="3"/>
  <c r="C338" i="3"/>
  <c r="B338" i="3"/>
  <c r="G337" i="3"/>
  <c r="F337" i="3"/>
  <c r="E337" i="3"/>
  <c r="D337" i="3"/>
  <c r="C337" i="3"/>
  <c r="B337" i="3"/>
  <c r="G336" i="3"/>
  <c r="F336" i="3"/>
  <c r="E336" i="3"/>
  <c r="D336" i="3"/>
  <c r="C336" i="3"/>
  <c r="B336" i="3"/>
  <c r="G335" i="3"/>
  <c r="F335" i="3"/>
  <c r="E335" i="3"/>
  <c r="D335" i="3"/>
  <c r="C335" i="3"/>
  <c r="B335" i="3"/>
  <c r="G334" i="3"/>
  <c r="F334" i="3"/>
  <c r="E334" i="3"/>
  <c r="D334" i="3"/>
  <c r="C334" i="3"/>
  <c r="B334" i="3"/>
  <c r="G333" i="3"/>
  <c r="F333" i="3"/>
  <c r="E333" i="3"/>
  <c r="D333" i="3"/>
  <c r="C333" i="3"/>
  <c r="B333" i="3"/>
  <c r="G332" i="3"/>
  <c r="F332" i="3"/>
  <c r="E332" i="3"/>
  <c r="D332" i="3"/>
  <c r="C332" i="3"/>
  <c r="B332" i="3"/>
  <c r="G331" i="3"/>
  <c r="F331" i="3"/>
  <c r="E331" i="3"/>
  <c r="D331" i="3"/>
  <c r="C331" i="3"/>
  <c r="B331" i="3"/>
  <c r="G330" i="3"/>
  <c r="F330" i="3"/>
  <c r="E330" i="3"/>
  <c r="D330" i="3"/>
  <c r="C330" i="3"/>
  <c r="B330" i="3"/>
  <c r="G329" i="3"/>
  <c r="F329" i="3"/>
  <c r="E329" i="3"/>
  <c r="D329" i="3"/>
  <c r="C329" i="3"/>
  <c r="B329" i="3"/>
  <c r="G328" i="3"/>
  <c r="F328" i="3"/>
  <c r="E328" i="3"/>
  <c r="D328" i="3"/>
  <c r="C328" i="3"/>
  <c r="B328" i="3"/>
  <c r="G327" i="3"/>
  <c r="F327" i="3"/>
  <c r="E327" i="3"/>
  <c r="D327" i="3"/>
  <c r="C327" i="3"/>
  <c r="B327" i="3"/>
  <c r="G326" i="3"/>
  <c r="F326" i="3"/>
  <c r="E326" i="3"/>
  <c r="D326" i="3"/>
  <c r="C326" i="3"/>
  <c r="B326" i="3"/>
  <c r="G325" i="3"/>
  <c r="F325" i="3"/>
  <c r="E325" i="3"/>
  <c r="D325" i="3"/>
  <c r="C325" i="3"/>
  <c r="B325" i="3"/>
  <c r="G324" i="3"/>
  <c r="F324" i="3"/>
  <c r="E324" i="3"/>
  <c r="D324" i="3"/>
  <c r="C324" i="3"/>
  <c r="B324" i="3"/>
  <c r="G323" i="3"/>
  <c r="F323" i="3"/>
  <c r="E323" i="3"/>
  <c r="D323" i="3"/>
  <c r="C323" i="3"/>
  <c r="B323" i="3"/>
  <c r="G322" i="3"/>
  <c r="F322" i="3"/>
  <c r="E322" i="3"/>
  <c r="D322" i="3"/>
  <c r="C322" i="3"/>
  <c r="B322" i="3"/>
  <c r="G321" i="3"/>
  <c r="F321" i="3"/>
  <c r="E321" i="3"/>
  <c r="D321" i="3"/>
  <c r="C321" i="3"/>
  <c r="B321" i="3"/>
  <c r="G320" i="3"/>
  <c r="F320" i="3"/>
  <c r="E320" i="3"/>
  <c r="D320" i="3"/>
  <c r="C320" i="3"/>
  <c r="B320" i="3"/>
  <c r="G319" i="3"/>
  <c r="F319" i="3"/>
  <c r="E319" i="3"/>
  <c r="D319" i="3"/>
  <c r="C319" i="3"/>
  <c r="B319" i="3"/>
  <c r="G318" i="3"/>
  <c r="F318" i="3"/>
  <c r="E318" i="3"/>
  <c r="D318" i="3"/>
  <c r="C318" i="3"/>
  <c r="B318" i="3"/>
  <c r="G317" i="3"/>
  <c r="F317" i="3"/>
  <c r="E317" i="3"/>
  <c r="D317" i="3"/>
  <c r="C317" i="3"/>
  <c r="B317" i="3"/>
  <c r="G316" i="3"/>
  <c r="F316" i="3"/>
  <c r="E316" i="3"/>
  <c r="D316" i="3"/>
  <c r="C316" i="3"/>
  <c r="B316" i="3"/>
  <c r="G315" i="3"/>
  <c r="F315" i="3"/>
  <c r="E315" i="3"/>
  <c r="D315" i="3"/>
  <c r="C315" i="3"/>
  <c r="B315" i="3"/>
  <c r="G314" i="3"/>
  <c r="F314" i="3"/>
  <c r="E314" i="3"/>
  <c r="D314" i="3"/>
  <c r="C314" i="3"/>
  <c r="B314" i="3"/>
  <c r="G313" i="3"/>
  <c r="F32" i="4" s="1"/>
  <c r="F313" i="3"/>
  <c r="E313" i="3"/>
  <c r="D313" i="3"/>
  <c r="C313" i="3"/>
  <c r="B313" i="3"/>
  <c r="G312" i="3"/>
  <c r="F312" i="3"/>
  <c r="E312" i="3"/>
  <c r="D312" i="3"/>
  <c r="C312" i="3"/>
  <c r="B312" i="3"/>
  <c r="G311" i="3"/>
  <c r="F311" i="3"/>
  <c r="E311" i="3"/>
  <c r="D311" i="3"/>
  <c r="C311" i="3"/>
  <c r="B311" i="3"/>
  <c r="G310" i="3"/>
  <c r="F310" i="3"/>
  <c r="E310" i="3"/>
  <c r="D310" i="3"/>
  <c r="C310" i="3"/>
  <c r="B310" i="3"/>
  <c r="G309" i="3"/>
  <c r="F309" i="3"/>
  <c r="E309" i="3"/>
  <c r="D309" i="3"/>
  <c r="C309" i="3"/>
  <c r="B309" i="3"/>
  <c r="G308" i="3"/>
  <c r="F308" i="3"/>
  <c r="E308" i="3"/>
  <c r="D308" i="3"/>
  <c r="C308" i="3"/>
  <c r="B308" i="3"/>
  <c r="G307" i="3"/>
  <c r="F307" i="3"/>
  <c r="E307" i="3"/>
  <c r="D307" i="3"/>
  <c r="C307" i="3"/>
  <c r="B307" i="3"/>
  <c r="G306" i="3"/>
  <c r="F306" i="3"/>
  <c r="E306" i="3"/>
  <c r="D306" i="3"/>
  <c r="C306" i="3"/>
  <c r="B306" i="3"/>
  <c r="G305" i="3"/>
  <c r="F305" i="3"/>
  <c r="E305" i="3"/>
  <c r="D305" i="3"/>
  <c r="C305" i="3"/>
  <c r="B305" i="3"/>
  <c r="G304" i="3"/>
  <c r="F304" i="3"/>
  <c r="E304" i="3"/>
  <c r="D304" i="3"/>
  <c r="C304" i="3"/>
  <c r="B304" i="3"/>
  <c r="G303" i="3"/>
  <c r="F303" i="3"/>
  <c r="E303" i="3"/>
  <c r="D303" i="3"/>
  <c r="C303" i="3"/>
  <c r="B303" i="3"/>
  <c r="G302" i="3"/>
  <c r="F302" i="3"/>
  <c r="E302" i="3"/>
  <c r="D302" i="3"/>
  <c r="C302" i="3"/>
  <c r="B302" i="3"/>
  <c r="G301" i="3"/>
  <c r="F301" i="3"/>
  <c r="E301" i="3"/>
  <c r="D301" i="3"/>
  <c r="C301" i="3"/>
  <c r="B301" i="3"/>
  <c r="G300" i="3"/>
  <c r="F300" i="3"/>
  <c r="E300" i="3"/>
  <c r="D300" i="3"/>
  <c r="C300" i="3"/>
  <c r="B300" i="3"/>
  <c r="G299" i="3"/>
  <c r="F299" i="3"/>
  <c r="E299" i="3"/>
  <c r="D299" i="3"/>
  <c r="C299" i="3"/>
  <c r="B299" i="3"/>
  <c r="G298" i="3"/>
  <c r="F298" i="3"/>
  <c r="E298" i="3"/>
  <c r="D298" i="3"/>
  <c r="C298" i="3"/>
  <c r="B298" i="3"/>
  <c r="G297" i="3"/>
  <c r="F297" i="3"/>
  <c r="E297" i="3"/>
  <c r="D297" i="3"/>
  <c r="C297" i="3"/>
  <c r="B297" i="3"/>
  <c r="G296" i="3"/>
  <c r="F296" i="3"/>
  <c r="E296" i="3"/>
  <c r="D296" i="3"/>
  <c r="C296" i="3"/>
  <c r="B296" i="3"/>
  <c r="G295" i="3"/>
  <c r="F295" i="3"/>
  <c r="E295" i="3"/>
  <c r="D295" i="3"/>
  <c r="C295" i="3"/>
  <c r="B295" i="3"/>
  <c r="G294" i="3"/>
  <c r="F294" i="3"/>
  <c r="E294" i="3"/>
  <c r="D294" i="3"/>
  <c r="C294" i="3"/>
  <c r="B294" i="3"/>
  <c r="G293" i="3"/>
  <c r="F293" i="3"/>
  <c r="E293" i="3"/>
  <c r="D293" i="3"/>
  <c r="C293" i="3"/>
  <c r="B293" i="3"/>
  <c r="G292" i="3"/>
  <c r="F292" i="3"/>
  <c r="E292" i="3"/>
  <c r="D292" i="3"/>
  <c r="C292" i="3"/>
  <c r="B292" i="3"/>
  <c r="G291" i="3"/>
  <c r="F291" i="3"/>
  <c r="E291" i="3"/>
  <c r="D291" i="3"/>
  <c r="C291" i="3"/>
  <c r="B291" i="3"/>
  <c r="G290" i="3"/>
  <c r="F290" i="3"/>
  <c r="E290" i="3"/>
  <c r="D290" i="3"/>
  <c r="C290" i="3"/>
  <c r="B290" i="3"/>
  <c r="G289" i="3"/>
  <c r="F289" i="3"/>
  <c r="E289" i="3"/>
  <c r="D289" i="3"/>
  <c r="C289" i="3"/>
  <c r="B289" i="3"/>
  <c r="G288" i="3"/>
  <c r="F288" i="3"/>
  <c r="E288" i="3"/>
  <c r="D288" i="3"/>
  <c r="C288" i="3"/>
  <c r="B288" i="3"/>
  <c r="G287" i="3"/>
  <c r="F287" i="3"/>
  <c r="E287" i="3"/>
  <c r="D287" i="3"/>
  <c r="C287" i="3"/>
  <c r="B287" i="3"/>
  <c r="G286" i="3"/>
  <c r="F286" i="3"/>
  <c r="E286" i="3"/>
  <c r="D286" i="3"/>
  <c r="C286" i="3"/>
  <c r="B286" i="3"/>
  <c r="G285" i="3"/>
  <c r="F285" i="3"/>
  <c r="E285" i="3"/>
  <c r="D285" i="3"/>
  <c r="C285" i="3"/>
  <c r="B285" i="3"/>
  <c r="G284" i="3"/>
  <c r="F284" i="3"/>
  <c r="E284" i="3"/>
  <c r="D284" i="3"/>
  <c r="C284" i="3"/>
  <c r="B284" i="3"/>
  <c r="G283" i="3"/>
  <c r="F283" i="3"/>
  <c r="E283" i="3"/>
  <c r="D283" i="3"/>
  <c r="C283" i="3"/>
  <c r="B283" i="3"/>
  <c r="G282" i="3"/>
  <c r="F282" i="3"/>
  <c r="E282" i="3"/>
  <c r="D282" i="3"/>
  <c r="C282" i="3"/>
  <c r="B282" i="3"/>
  <c r="G281" i="3"/>
  <c r="F281" i="3"/>
  <c r="E281" i="3"/>
  <c r="D281" i="3"/>
  <c r="C281" i="3"/>
  <c r="B281" i="3"/>
  <c r="G280" i="3"/>
  <c r="F280" i="3"/>
  <c r="E280" i="3"/>
  <c r="D280" i="3"/>
  <c r="C280" i="3"/>
  <c r="B280" i="3"/>
  <c r="G279" i="3"/>
  <c r="F279" i="3"/>
  <c r="E279" i="3"/>
  <c r="D279" i="3"/>
  <c r="C279" i="3"/>
  <c r="B279" i="3"/>
  <c r="G278" i="3"/>
  <c r="F278" i="3"/>
  <c r="E278" i="3"/>
  <c r="D278" i="3"/>
  <c r="C278" i="3"/>
  <c r="B278" i="3"/>
  <c r="G277" i="3"/>
  <c r="F277" i="3"/>
  <c r="E277" i="3"/>
  <c r="D277" i="3"/>
  <c r="C277" i="3"/>
  <c r="B277" i="3"/>
  <c r="G276" i="3"/>
  <c r="F276" i="3"/>
  <c r="E276" i="3"/>
  <c r="D276" i="3"/>
  <c r="C276" i="3"/>
  <c r="B276" i="3"/>
  <c r="G275" i="3"/>
  <c r="F275" i="3"/>
  <c r="E275" i="3"/>
  <c r="D275" i="3"/>
  <c r="C275" i="3"/>
  <c r="B275" i="3"/>
  <c r="G274" i="3"/>
  <c r="F274" i="3"/>
  <c r="E274" i="3"/>
  <c r="D274" i="3"/>
  <c r="C274" i="3"/>
  <c r="B274" i="3"/>
  <c r="G273" i="3"/>
  <c r="F273" i="3"/>
  <c r="E273" i="3"/>
  <c r="D273" i="3"/>
  <c r="C273" i="3"/>
  <c r="B273" i="3"/>
  <c r="G272" i="3"/>
  <c r="F272" i="3"/>
  <c r="E272" i="3"/>
  <c r="D272" i="3"/>
  <c r="C272" i="3"/>
  <c r="B272" i="3"/>
  <c r="G271" i="3"/>
  <c r="F271" i="3"/>
  <c r="E271" i="3"/>
  <c r="D271" i="3"/>
  <c r="C271" i="3"/>
  <c r="B271" i="3"/>
  <c r="G270" i="3"/>
  <c r="F270" i="3"/>
  <c r="E270" i="3"/>
  <c r="D270" i="3"/>
  <c r="C270" i="3"/>
  <c r="B270" i="3"/>
  <c r="G269" i="3"/>
  <c r="F269" i="3"/>
  <c r="E269" i="3"/>
  <c r="D269" i="3"/>
  <c r="C269" i="3"/>
  <c r="B269" i="3"/>
  <c r="G268" i="3"/>
  <c r="F268" i="3"/>
  <c r="E268" i="3"/>
  <c r="D268" i="3"/>
  <c r="C268" i="3"/>
  <c r="B268" i="3"/>
  <c r="G267" i="3"/>
  <c r="F267" i="3"/>
  <c r="E267" i="3"/>
  <c r="D267" i="3"/>
  <c r="C267" i="3"/>
  <c r="B267" i="3"/>
  <c r="G266" i="3"/>
  <c r="F266" i="3"/>
  <c r="E266" i="3"/>
  <c r="D266" i="3"/>
  <c r="C266" i="3"/>
  <c r="B266" i="3"/>
  <c r="G265" i="3"/>
  <c r="F265" i="3"/>
  <c r="E265" i="3"/>
  <c r="D265" i="3"/>
  <c r="C265" i="3"/>
  <c r="B265" i="3"/>
  <c r="G264" i="3"/>
  <c r="F28" i="4" s="1"/>
  <c r="F264" i="3"/>
  <c r="E264" i="3"/>
  <c r="D264" i="3"/>
  <c r="C264" i="3"/>
  <c r="B264" i="3"/>
  <c r="G263" i="3"/>
  <c r="F263" i="3"/>
  <c r="E263" i="3"/>
  <c r="D263" i="3"/>
  <c r="C263" i="3"/>
  <c r="B263" i="3"/>
  <c r="G262" i="3"/>
  <c r="F262" i="3"/>
  <c r="E262" i="3"/>
  <c r="D262" i="3"/>
  <c r="C262" i="3"/>
  <c r="B262" i="3"/>
  <c r="G261" i="3"/>
  <c r="F261" i="3"/>
  <c r="E261" i="3"/>
  <c r="D261" i="3"/>
  <c r="C261" i="3"/>
  <c r="B261" i="3"/>
  <c r="G260" i="3"/>
  <c r="F260" i="3"/>
  <c r="E260" i="3"/>
  <c r="D260" i="3"/>
  <c r="C260" i="3"/>
  <c r="B260" i="3"/>
  <c r="G259" i="3"/>
  <c r="F259" i="3"/>
  <c r="E259" i="3"/>
  <c r="D259" i="3"/>
  <c r="C259" i="3"/>
  <c r="B259" i="3"/>
  <c r="G258" i="3"/>
  <c r="F258" i="3"/>
  <c r="E258" i="3"/>
  <c r="D258" i="3"/>
  <c r="C258" i="3"/>
  <c r="B258" i="3"/>
  <c r="G257" i="3"/>
  <c r="F257" i="3"/>
  <c r="E257" i="3"/>
  <c r="D257" i="3"/>
  <c r="C257" i="3"/>
  <c r="B257" i="3"/>
  <c r="G256" i="3"/>
  <c r="F256" i="3"/>
  <c r="E256" i="3"/>
  <c r="D256" i="3"/>
  <c r="C256" i="3"/>
  <c r="B256" i="3"/>
  <c r="G255" i="3"/>
  <c r="F255" i="3"/>
  <c r="E255" i="3"/>
  <c r="D255" i="3"/>
  <c r="C255" i="3"/>
  <c r="B255" i="3"/>
  <c r="G254" i="3"/>
  <c r="F254" i="3"/>
  <c r="E254" i="3"/>
  <c r="D254" i="3"/>
  <c r="C254" i="3"/>
  <c r="B254" i="3"/>
  <c r="G253" i="3"/>
  <c r="F253" i="3"/>
  <c r="E253" i="3"/>
  <c r="D253" i="3"/>
  <c r="C253" i="3"/>
  <c r="B253" i="3"/>
  <c r="G252" i="3"/>
  <c r="F252" i="3"/>
  <c r="E252" i="3"/>
  <c r="D252" i="3"/>
  <c r="C252" i="3"/>
  <c r="B252" i="3"/>
  <c r="G251" i="3"/>
  <c r="F251" i="3"/>
  <c r="E251" i="3"/>
  <c r="D251" i="3"/>
  <c r="C251" i="3"/>
  <c r="B251" i="3"/>
  <c r="G250" i="3"/>
  <c r="F250" i="3"/>
  <c r="E250" i="3"/>
  <c r="D250" i="3"/>
  <c r="C250" i="3"/>
  <c r="B250" i="3"/>
  <c r="G249" i="3"/>
  <c r="F249" i="3"/>
  <c r="E249" i="3"/>
  <c r="D249" i="3"/>
  <c r="C249" i="3"/>
  <c r="B249" i="3"/>
  <c r="G248" i="3"/>
  <c r="F248" i="3"/>
  <c r="E248" i="3"/>
  <c r="D248" i="3"/>
  <c r="C248" i="3"/>
  <c r="B248" i="3"/>
  <c r="G247" i="3"/>
  <c r="F247" i="3"/>
  <c r="E247" i="3"/>
  <c r="D247" i="3"/>
  <c r="C247" i="3"/>
  <c r="B247" i="3"/>
  <c r="C246" i="3"/>
  <c r="B246" i="3"/>
  <c r="C245" i="3"/>
  <c r="B245" i="3"/>
  <c r="C244" i="3"/>
  <c r="B244" i="3"/>
  <c r="C243" i="3"/>
  <c r="B243" i="3"/>
  <c r="C242" i="3"/>
  <c r="B242" i="3"/>
  <c r="C241" i="3"/>
  <c r="B241" i="3"/>
  <c r="C240" i="3"/>
  <c r="B240" i="3"/>
  <c r="C239" i="3"/>
  <c r="B239" i="3"/>
  <c r="C238" i="3"/>
  <c r="B238" i="3"/>
  <c r="C237" i="3"/>
  <c r="B237" i="3"/>
  <c r="C236" i="3"/>
  <c r="B236" i="3"/>
  <c r="C235" i="3"/>
  <c r="B235" i="3"/>
  <c r="C234" i="3"/>
  <c r="B234" i="3"/>
  <c r="C233" i="3"/>
  <c r="B233" i="3"/>
  <c r="C232" i="3"/>
  <c r="B232" i="3"/>
  <c r="C231" i="3"/>
  <c r="B231" i="3"/>
  <c r="C230" i="3"/>
  <c r="B230" i="3"/>
  <c r="C229" i="3"/>
  <c r="B229" i="3"/>
  <c r="C228" i="3"/>
  <c r="B228" i="3"/>
  <c r="C227" i="3"/>
  <c r="B227" i="3"/>
  <c r="C226" i="3"/>
  <c r="B226" i="3"/>
  <c r="C225" i="3"/>
  <c r="B225" i="3"/>
  <c r="C224" i="3"/>
  <c r="B224" i="3"/>
  <c r="C223" i="3"/>
  <c r="B223" i="3"/>
  <c r="C222" i="3"/>
  <c r="B222" i="3"/>
  <c r="C221" i="3"/>
  <c r="B221" i="3"/>
  <c r="C220" i="3"/>
  <c r="B220" i="3"/>
  <c r="C219" i="3"/>
  <c r="B219" i="3"/>
  <c r="C218" i="3"/>
  <c r="B218" i="3"/>
  <c r="C217" i="3"/>
  <c r="B217" i="3"/>
  <c r="C216" i="3"/>
  <c r="B216" i="3"/>
  <c r="C215" i="3"/>
  <c r="B215" i="3"/>
  <c r="C214" i="3"/>
  <c r="B214" i="3"/>
  <c r="C213" i="3"/>
  <c r="B213" i="3"/>
  <c r="C212" i="3"/>
  <c r="B212" i="3"/>
  <c r="C211" i="3"/>
  <c r="B211" i="3"/>
  <c r="C210" i="3"/>
  <c r="B210" i="3"/>
  <c r="C209" i="3"/>
  <c r="B209" i="3"/>
  <c r="C208" i="3"/>
  <c r="B208" i="3"/>
  <c r="C207" i="3"/>
  <c r="B207" i="3"/>
  <c r="C206" i="3"/>
  <c r="B206" i="3"/>
  <c r="C205" i="3"/>
  <c r="B205" i="3"/>
  <c r="C204" i="3"/>
  <c r="B204" i="3"/>
  <c r="C203" i="3"/>
  <c r="B203" i="3"/>
  <c r="C202" i="3"/>
  <c r="B202" i="3"/>
  <c r="C201" i="3"/>
  <c r="B201" i="3"/>
  <c r="C200" i="3"/>
  <c r="B200" i="3"/>
  <c r="C199" i="3"/>
  <c r="B199" i="3"/>
  <c r="C198" i="3"/>
  <c r="B198" i="3"/>
  <c r="C197" i="3"/>
  <c r="B197" i="3"/>
  <c r="C196" i="3"/>
  <c r="B196" i="3"/>
  <c r="C195" i="3"/>
  <c r="B195" i="3"/>
  <c r="C194" i="3"/>
  <c r="B194" i="3"/>
  <c r="C193" i="3"/>
  <c r="B193" i="3"/>
  <c r="C192" i="3"/>
  <c r="B192" i="3"/>
  <c r="C191" i="3"/>
  <c r="B191" i="3"/>
  <c r="C190" i="3"/>
  <c r="B190" i="3"/>
  <c r="C189" i="3"/>
  <c r="B189" i="3"/>
  <c r="C188" i="3"/>
  <c r="B188" i="3"/>
  <c r="C187" i="3"/>
  <c r="B187" i="3"/>
  <c r="C186" i="3"/>
  <c r="B186" i="3"/>
  <c r="C185" i="3"/>
  <c r="B185" i="3"/>
  <c r="C184" i="3"/>
  <c r="B184" i="3"/>
  <c r="C183" i="3"/>
  <c r="B183" i="3"/>
  <c r="C182" i="3"/>
  <c r="B182" i="3"/>
  <c r="C181" i="3"/>
  <c r="B181" i="3"/>
  <c r="C180" i="3"/>
  <c r="B180" i="3"/>
  <c r="C179" i="3"/>
  <c r="B179" i="3"/>
  <c r="C178" i="3"/>
  <c r="B178" i="3"/>
  <c r="C177" i="3"/>
  <c r="B177" i="3"/>
  <c r="C176" i="3"/>
  <c r="B176" i="3"/>
  <c r="C175" i="3"/>
  <c r="B175" i="3"/>
  <c r="C174" i="3"/>
  <c r="B174" i="3"/>
  <c r="C173" i="3"/>
  <c r="B173" i="3"/>
  <c r="C172" i="3"/>
  <c r="B172" i="3"/>
  <c r="C171" i="3"/>
  <c r="B171" i="3"/>
  <c r="C170" i="3"/>
  <c r="B170" i="3"/>
  <c r="C169" i="3"/>
  <c r="B169" i="3"/>
  <c r="C168" i="3"/>
  <c r="B168" i="3"/>
  <c r="C167" i="3"/>
  <c r="B167" i="3"/>
  <c r="C166" i="3"/>
  <c r="B166" i="3"/>
  <c r="C165" i="3"/>
  <c r="B165" i="3"/>
  <c r="C164" i="3"/>
  <c r="B164" i="3"/>
  <c r="C163" i="3"/>
  <c r="B163" i="3"/>
  <c r="C162" i="3"/>
  <c r="B162" i="3"/>
  <c r="C161" i="3"/>
  <c r="B161" i="3"/>
  <c r="C160" i="3"/>
  <c r="B160" i="3"/>
  <c r="C159" i="3"/>
  <c r="B159" i="3"/>
  <c r="C158" i="3"/>
  <c r="B158" i="3"/>
  <c r="C157" i="3"/>
  <c r="B157" i="3"/>
  <c r="C156" i="3"/>
  <c r="B156" i="3"/>
  <c r="C155" i="3"/>
  <c r="B155" i="3"/>
  <c r="C154" i="3"/>
  <c r="B154" i="3"/>
  <c r="C153" i="3"/>
  <c r="B153" i="3"/>
  <c r="C152" i="3"/>
  <c r="B152" i="3"/>
  <c r="C151" i="3"/>
  <c r="B151" i="3"/>
  <c r="C150" i="3"/>
  <c r="B150" i="3"/>
  <c r="C149" i="3"/>
  <c r="B149" i="3"/>
  <c r="C148" i="3"/>
  <c r="B148" i="3"/>
  <c r="C147" i="3"/>
  <c r="B147" i="3"/>
  <c r="C146" i="3"/>
  <c r="B146" i="3"/>
  <c r="C145" i="3"/>
  <c r="B145" i="3"/>
  <c r="C144" i="3"/>
  <c r="B144" i="3"/>
  <c r="C143" i="3"/>
  <c r="B143" i="3"/>
  <c r="C142" i="3"/>
  <c r="B142" i="3"/>
  <c r="C141" i="3"/>
  <c r="B141" i="3"/>
  <c r="C140" i="3"/>
  <c r="B140" i="3"/>
  <c r="C139" i="3"/>
  <c r="B139" i="3"/>
  <c r="C138" i="3"/>
  <c r="B138" i="3"/>
  <c r="C137" i="3"/>
  <c r="B137" i="3"/>
  <c r="C136" i="3"/>
  <c r="B136" i="3"/>
  <c r="C135" i="3"/>
  <c r="B135" i="3"/>
  <c r="C134" i="3"/>
  <c r="B134" i="3"/>
  <c r="C133" i="3"/>
  <c r="B133" i="3"/>
  <c r="C132" i="3"/>
  <c r="B132" i="3"/>
  <c r="C131" i="3"/>
  <c r="B131" i="3"/>
  <c r="C130" i="3"/>
  <c r="B130" i="3"/>
  <c r="C129" i="3"/>
  <c r="B129" i="3"/>
  <c r="C128" i="3"/>
  <c r="B128" i="3"/>
  <c r="C127" i="3"/>
  <c r="B127" i="3"/>
  <c r="C126" i="3"/>
  <c r="B126" i="3"/>
  <c r="C125" i="3"/>
  <c r="B125" i="3"/>
  <c r="C124" i="3"/>
  <c r="B124" i="3"/>
  <c r="C123" i="3"/>
  <c r="B123" i="3"/>
  <c r="C122" i="3"/>
  <c r="B122" i="3"/>
  <c r="C121" i="3"/>
  <c r="B121" i="3"/>
  <c r="C120" i="3"/>
  <c r="B120" i="3"/>
  <c r="C119" i="3"/>
  <c r="B119" i="3"/>
  <c r="C118" i="3"/>
  <c r="B118" i="3"/>
  <c r="C117" i="3"/>
  <c r="B117" i="3"/>
  <c r="C116" i="3"/>
  <c r="B116" i="3"/>
  <c r="C115" i="3"/>
  <c r="B115" i="3"/>
  <c r="C114" i="3"/>
  <c r="B114" i="3"/>
  <c r="C113" i="3"/>
  <c r="B113" i="3"/>
  <c r="C112" i="3"/>
  <c r="B112" i="3"/>
  <c r="C111" i="3"/>
  <c r="B111" i="3"/>
  <c r="C110" i="3"/>
  <c r="B110" i="3"/>
  <c r="C109" i="3"/>
  <c r="B109" i="3"/>
  <c r="C108" i="3"/>
  <c r="B108" i="3"/>
  <c r="C107" i="3"/>
  <c r="B107" i="3"/>
  <c r="C106" i="3"/>
  <c r="B106" i="3"/>
  <c r="C105" i="3"/>
  <c r="B105" i="3"/>
  <c r="C104" i="3"/>
  <c r="B104" i="3"/>
  <c r="C103" i="3"/>
  <c r="B103" i="3"/>
  <c r="C102" i="3"/>
  <c r="B102" i="3"/>
  <c r="C101" i="3"/>
  <c r="B101" i="3"/>
  <c r="C100" i="3"/>
  <c r="B100" i="3"/>
  <c r="C99" i="3"/>
  <c r="B99" i="3"/>
  <c r="C98" i="3"/>
  <c r="B98" i="3"/>
  <c r="C97" i="3"/>
  <c r="B97" i="3"/>
  <c r="C96" i="3"/>
  <c r="B96" i="3"/>
  <c r="C95" i="3"/>
  <c r="B95" i="3"/>
  <c r="C94" i="3"/>
  <c r="B94" i="3"/>
  <c r="C93" i="3"/>
  <c r="B93" i="3"/>
  <c r="C92" i="3"/>
  <c r="B92" i="3"/>
  <c r="C91" i="3"/>
  <c r="B91" i="3"/>
  <c r="C90" i="3"/>
  <c r="B90" i="3"/>
  <c r="C89" i="3"/>
  <c r="B89" i="3"/>
  <c r="C88" i="3"/>
  <c r="B88" i="3"/>
  <c r="C87" i="3"/>
  <c r="B87" i="3"/>
  <c r="C86" i="3"/>
  <c r="B86" i="3"/>
  <c r="C85" i="3"/>
  <c r="B85" i="3"/>
  <c r="C84" i="3"/>
  <c r="B84" i="3"/>
  <c r="C83" i="3"/>
  <c r="B83" i="3"/>
  <c r="C82" i="3"/>
  <c r="B82" i="3"/>
  <c r="C81" i="3"/>
  <c r="B81" i="3"/>
  <c r="C80" i="3"/>
  <c r="B80" i="3"/>
  <c r="C79" i="3"/>
  <c r="B79" i="3"/>
  <c r="C78" i="3"/>
  <c r="B78" i="3"/>
  <c r="C77" i="3"/>
  <c r="B77" i="3"/>
  <c r="C76" i="3"/>
  <c r="B76" i="3"/>
  <c r="C75" i="3"/>
  <c r="B75" i="3"/>
  <c r="C74" i="3"/>
  <c r="B74" i="3"/>
  <c r="C73" i="3"/>
  <c r="B73" i="3"/>
  <c r="C72" i="3"/>
  <c r="B72" i="3"/>
  <c r="C71" i="3"/>
  <c r="B71" i="3"/>
  <c r="C70" i="3"/>
  <c r="B70" i="3"/>
  <c r="C69" i="3"/>
  <c r="B69" i="3"/>
  <c r="C68" i="3"/>
  <c r="B68" i="3"/>
  <c r="C67" i="3"/>
  <c r="B67" i="3"/>
  <c r="C66" i="3"/>
  <c r="B66" i="3"/>
  <c r="C65" i="3"/>
  <c r="B65" i="3"/>
  <c r="C64" i="3"/>
  <c r="B64" i="3"/>
  <c r="C63" i="3"/>
  <c r="B63" i="3"/>
  <c r="C62" i="3"/>
  <c r="B62" i="3"/>
  <c r="C61" i="3"/>
  <c r="B61" i="3"/>
  <c r="C60" i="3"/>
  <c r="B60" i="3"/>
  <c r="C59" i="3"/>
  <c r="B59" i="3"/>
  <c r="C58" i="3"/>
  <c r="B58" i="3"/>
  <c r="C57" i="3"/>
  <c r="B57" i="3"/>
  <c r="C56" i="3"/>
  <c r="B56" i="3"/>
  <c r="C55" i="3"/>
  <c r="B55" i="3"/>
  <c r="C54" i="3"/>
  <c r="B54" i="3"/>
  <c r="C53" i="3"/>
  <c r="B53" i="3"/>
  <c r="C52" i="3"/>
  <c r="B52" i="3"/>
  <c r="C51" i="3"/>
  <c r="B51" i="3"/>
  <c r="C50" i="3"/>
  <c r="B50" i="3"/>
  <c r="C49" i="3"/>
  <c r="B49" i="3"/>
  <c r="C48" i="3"/>
  <c r="B48" i="3"/>
  <c r="C47" i="3"/>
  <c r="B47" i="3"/>
  <c r="C46" i="3"/>
  <c r="B46" i="3"/>
  <c r="C45" i="3"/>
  <c r="B45" i="3"/>
  <c r="C44" i="3"/>
  <c r="B44" i="3"/>
  <c r="C43" i="3"/>
  <c r="B43" i="3"/>
  <c r="C42" i="3"/>
  <c r="B42" i="3"/>
  <c r="C41" i="3"/>
  <c r="B41" i="3"/>
  <c r="C40" i="3"/>
  <c r="B40" i="3"/>
  <c r="C39" i="3"/>
  <c r="B39" i="3"/>
  <c r="C38" i="3"/>
  <c r="B38" i="3"/>
  <c r="C37" i="3"/>
  <c r="B37" i="3"/>
  <c r="C36" i="3"/>
  <c r="B36" i="3"/>
  <c r="C35" i="3"/>
  <c r="B35" i="3"/>
  <c r="C34" i="3"/>
  <c r="B34" i="3"/>
  <c r="C33" i="3"/>
  <c r="B33" i="3"/>
  <c r="C32" i="3"/>
  <c r="B32" i="3"/>
  <c r="C31" i="3"/>
  <c r="B31" i="3"/>
  <c r="C30" i="3"/>
  <c r="B30" i="3"/>
  <c r="C29" i="3"/>
  <c r="B29" i="3"/>
  <c r="C28" i="3"/>
  <c r="B28" i="3"/>
  <c r="C27" i="3"/>
  <c r="B27" i="3"/>
  <c r="C26" i="3"/>
  <c r="B26" i="3"/>
  <c r="C25" i="3"/>
  <c r="B25" i="3"/>
  <c r="C24" i="3"/>
  <c r="B24" i="3"/>
  <c r="C23" i="3"/>
  <c r="B23" i="3"/>
  <c r="C22" i="3"/>
  <c r="B22" i="3"/>
  <c r="C21" i="3"/>
  <c r="B21" i="3"/>
  <c r="C20" i="3"/>
  <c r="B20" i="3"/>
  <c r="C19" i="3"/>
  <c r="B19" i="3"/>
  <c r="C18" i="3"/>
  <c r="B18" i="3"/>
  <c r="C17" i="3"/>
  <c r="B17" i="3"/>
  <c r="C16" i="3"/>
  <c r="B16" i="3"/>
  <c r="C15" i="3"/>
  <c r="B15" i="3"/>
  <c r="C14" i="3"/>
  <c r="B14" i="3"/>
  <c r="C13" i="3"/>
  <c r="B13" i="3"/>
  <c r="C12" i="3"/>
  <c r="B12" i="3"/>
  <c r="C11" i="3"/>
  <c r="B11" i="3"/>
  <c r="C10" i="3"/>
  <c r="B10" i="3"/>
  <c r="C9" i="3"/>
  <c r="B9" i="3"/>
  <c r="C8" i="3"/>
  <c r="B8" i="3"/>
  <c r="E7" i="3"/>
  <c r="C7" i="3"/>
  <c r="B7" i="3"/>
  <c r="C18" i="2"/>
  <c r="C14" i="2"/>
  <c r="C11" i="2"/>
  <c r="F10" i="2"/>
  <c r="F7" i="2"/>
  <c r="D245" i="3" l="1"/>
  <c r="D243" i="3"/>
  <c r="D241" i="3"/>
  <c r="D239" i="3"/>
  <c r="D237" i="3"/>
  <c r="D235" i="3"/>
  <c r="D233" i="3"/>
  <c r="D231" i="3"/>
  <c r="D229" i="3"/>
  <c r="D227" i="3"/>
  <c r="D225" i="3"/>
  <c r="D223" i="3"/>
  <c r="D221" i="3"/>
  <c r="D219" i="3"/>
  <c r="D217" i="3"/>
  <c r="D215" i="3"/>
  <c r="D213" i="3"/>
  <c r="D211" i="3"/>
  <c r="D209" i="3"/>
  <c r="D207" i="3"/>
  <c r="D205" i="3"/>
  <c r="D203" i="3"/>
  <c r="D201" i="3"/>
  <c r="D199" i="3"/>
  <c r="D197" i="3"/>
  <c r="D195" i="3"/>
  <c r="D193" i="3"/>
  <c r="D191" i="3"/>
  <c r="D189" i="3"/>
  <c r="D187" i="3"/>
  <c r="D185" i="3"/>
  <c r="D246" i="3"/>
  <c r="D242" i="3"/>
  <c r="D238" i="3"/>
  <c r="D234" i="3"/>
  <c r="D230" i="3"/>
  <c r="D226" i="3"/>
  <c r="D222" i="3"/>
  <c r="D218" i="3"/>
  <c r="D214" i="3"/>
  <c r="D210" i="3"/>
  <c r="D206" i="3"/>
  <c r="D202" i="3"/>
  <c r="D198" i="3"/>
  <c r="D194" i="3"/>
  <c r="D190" i="3"/>
  <c r="D186" i="3"/>
  <c r="D208" i="3"/>
  <c r="D192" i="3"/>
  <c r="D183" i="3"/>
  <c r="D179" i="3"/>
  <c r="D175" i="3"/>
  <c r="D171" i="3"/>
  <c r="D167" i="3"/>
  <c r="D163" i="3"/>
  <c r="D159" i="3"/>
  <c r="D240" i="3"/>
  <c r="D232" i="3"/>
  <c r="D224" i="3"/>
  <c r="D220" i="3"/>
  <c r="D204" i="3"/>
  <c r="D216" i="3"/>
  <c r="D200" i="3"/>
  <c r="D181" i="3"/>
  <c r="D177" i="3"/>
  <c r="D244" i="3"/>
  <c r="D212" i="3"/>
  <c r="D178" i="3"/>
  <c r="D172" i="3"/>
  <c r="D170" i="3"/>
  <c r="D169" i="3"/>
  <c r="D157" i="3"/>
  <c r="D153" i="3"/>
  <c r="D149" i="3"/>
  <c r="D145" i="3"/>
  <c r="D141" i="3"/>
  <c r="D137" i="3"/>
  <c r="D133" i="3"/>
  <c r="D129" i="3"/>
  <c r="D125" i="3"/>
  <c r="D196" i="3"/>
  <c r="D180" i="3"/>
  <c r="D168" i="3"/>
  <c r="D166" i="3"/>
  <c r="D165" i="3"/>
  <c r="D156" i="3"/>
  <c r="D152" i="3"/>
  <c r="D148" i="3"/>
  <c r="D144" i="3"/>
  <c r="D140" i="3"/>
  <c r="D136" i="3"/>
  <c r="D132" i="3"/>
  <c r="D128" i="3"/>
  <c r="D124" i="3"/>
  <c r="D121" i="3"/>
  <c r="D119" i="3"/>
  <c r="D117" i="3"/>
  <c r="D115" i="3"/>
  <c r="D113" i="3"/>
  <c r="D111" i="3"/>
  <c r="D109" i="3"/>
  <c r="D107" i="3"/>
  <c r="D105" i="3"/>
  <c r="D103" i="3"/>
  <c r="D101" i="3"/>
  <c r="D99" i="3"/>
  <c r="D97" i="3"/>
  <c r="D95" i="3"/>
  <c r="D93" i="3"/>
  <c r="D91" i="3"/>
  <c r="D89" i="3"/>
  <c r="D87" i="3"/>
  <c r="D85" i="3"/>
  <c r="D83" i="3"/>
  <c r="D81" i="3"/>
  <c r="D79" i="3"/>
  <c r="D77" i="3"/>
  <c r="D75" i="3"/>
  <c r="D73" i="3"/>
  <c r="D71" i="3"/>
  <c r="D69" i="3"/>
  <c r="D67" i="3"/>
  <c r="D65" i="3"/>
  <c r="D63" i="3"/>
  <c r="D61" i="3"/>
  <c r="D59" i="3"/>
  <c r="D57" i="3"/>
  <c r="D55" i="3"/>
  <c r="D53" i="3"/>
  <c r="D51" i="3"/>
  <c r="D49" i="3"/>
  <c r="D228" i="3"/>
  <c r="D188" i="3"/>
  <c r="D182" i="3"/>
  <c r="D164" i="3"/>
  <c r="D162" i="3"/>
  <c r="D161" i="3"/>
  <c r="D155" i="3"/>
  <c r="D151" i="3"/>
  <c r="D147" i="3"/>
  <c r="D143" i="3"/>
  <c r="D139" i="3"/>
  <c r="D135" i="3"/>
  <c r="D131" i="3"/>
  <c r="D127" i="3"/>
  <c r="D123" i="3"/>
  <c r="D78" i="3"/>
  <c r="D80" i="3"/>
  <c r="D82" i="3"/>
  <c r="D126" i="3"/>
  <c r="D142" i="3"/>
  <c r="C15" i="2"/>
  <c r="D8" i="3"/>
  <c r="D10" i="3"/>
  <c r="D12" i="3"/>
  <c r="D14" i="3"/>
  <c r="D16" i="3"/>
  <c r="D18" i="3"/>
  <c r="D20" i="3"/>
  <c r="D22" i="3"/>
  <c r="D24" i="3"/>
  <c r="D26" i="3"/>
  <c r="D28" i="3"/>
  <c r="D30" i="3"/>
  <c r="D32" i="3"/>
  <c r="D34" i="3"/>
  <c r="D36" i="3"/>
  <c r="D38" i="3"/>
  <c r="D40" i="3"/>
  <c r="D42" i="3"/>
  <c r="D44" i="3"/>
  <c r="D46" i="3"/>
  <c r="D48" i="3"/>
  <c r="D52" i="3"/>
  <c r="D56" i="3"/>
  <c r="D60" i="3"/>
  <c r="D64" i="3"/>
  <c r="D68" i="3"/>
  <c r="D72" i="3"/>
  <c r="D90" i="3"/>
  <c r="D94" i="3"/>
  <c r="D98" i="3"/>
  <c r="D102" i="3"/>
  <c r="D106" i="3"/>
  <c r="D110" i="3"/>
  <c r="D114" i="3"/>
  <c r="D118" i="3"/>
  <c r="D122" i="3"/>
  <c r="D138" i="3"/>
  <c r="D154" i="3"/>
  <c r="D174" i="3"/>
  <c r="D134" i="3"/>
  <c r="D150" i="3"/>
  <c r="D160" i="3"/>
  <c r="D173" i="3"/>
  <c r="D184" i="3"/>
  <c r="D236" i="3"/>
  <c r="D76" i="3"/>
  <c r="D84" i="3"/>
  <c r="C13" i="4" s="1"/>
  <c r="D86" i="3"/>
  <c r="D158" i="3"/>
  <c r="C16" i="2"/>
  <c r="F8" i="2" s="1"/>
  <c r="D7" i="3"/>
  <c r="F7" i="3" s="1"/>
  <c r="G7" i="3" s="1"/>
  <c r="D9" i="3"/>
  <c r="D11" i="3"/>
  <c r="D13" i="3"/>
  <c r="D15" i="3"/>
  <c r="D17" i="3"/>
  <c r="D19" i="3"/>
  <c r="D21" i="3"/>
  <c r="D23" i="3"/>
  <c r="D25" i="3"/>
  <c r="D27" i="3"/>
  <c r="D29" i="3"/>
  <c r="D31" i="3"/>
  <c r="C9" i="4" s="1"/>
  <c r="D33" i="3"/>
  <c r="D35" i="3"/>
  <c r="D37" i="3"/>
  <c r="D39" i="3"/>
  <c r="D41" i="3"/>
  <c r="D43" i="3"/>
  <c r="D45" i="3"/>
  <c r="D47" i="3"/>
  <c r="D50" i="3"/>
  <c r="D54" i="3"/>
  <c r="D58" i="3"/>
  <c r="D62" i="3"/>
  <c r="D66" i="3"/>
  <c r="D70" i="3"/>
  <c r="C12" i="4" s="1"/>
  <c r="D74" i="3"/>
  <c r="D88" i="3"/>
  <c r="D92" i="3"/>
  <c r="C14" i="4" s="1"/>
  <c r="D96" i="3"/>
  <c r="D100" i="3"/>
  <c r="D104" i="3"/>
  <c r="C15" i="4" s="1"/>
  <c r="D108" i="3"/>
  <c r="D112" i="3"/>
  <c r="D116" i="3"/>
  <c r="D120" i="3"/>
  <c r="D130" i="3"/>
  <c r="D146" i="3"/>
  <c r="D176" i="3"/>
  <c r="C21" i="4"/>
  <c r="C17" i="4"/>
  <c r="C18" i="4"/>
  <c r="C19" i="4"/>
  <c r="C20" i="4"/>
  <c r="C24" i="4"/>
  <c r="C23" i="4"/>
  <c r="C22" i="4"/>
  <c r="F36" i="4"/>
  <c r="F27" i="4"/>
  <c r="F29" i="4"/>
  <c r="F30" i="4"/>
  <c r="F31" i="4"/>
  <c r="F33" i="4"/>
  <c r="F34" i="4"/>
  <c r="F35" i="4"/>
  <c r="C25" i="4"/>
  <c r="C26" i="4"/>
  <c r="C16" i="4" l="1"/>
  <c r="C17" i="2"/>
  <c r="F9" i="2"/>
  <c r="C8" i="4"/>
  <c r="C7" i="4"/>
  <c r="C11" i="4"/>
  <c r="C10" i="4"/>
  <c r="E8" i="3"/>
  <c r="C37" i="4" l="1"/>
  <c r="F8" i="3"/>
  <c r="G8" i="3" l="1"/>
  <c r="E9" i="3" l="1"/>
  <c r="F9" i="3" l="1"/>
  <c r="G9" i="3" l="1"/>
  <c r="E10" i="3" l="1"/>
  <c r="F10" i="3" l="1"/>
  <c r="G10" i="3" l="1"/>
  <c r="E11" i="3" l="1"/>
  <c r="F11" i="3" s="1"/>
  <c r="G11" i="3" s="1"/>
  <c r="E12" i="3" l="1"/>
  <c r="F12" i="3" s="1"/>
  <c r="G12" i="3" s="1"/>
  <c r="E13" i="3" l="1"/>
  <c r="F13" i="3" s="1"/>
  <c r="G13" i="3"/>
  <c r="E14" i="3" l="1"/>
  <c r="F14" i="3" s="1"/>
  <c r="G14" i="3" s="1"/>
  <c r="E15" i="3" l="1"/>
  <c r="F15" i="3" s="1"/>
  <c r="G15" i="3" s="1"/>
  <c r="E16" i="3" l="1"/>
  <c r="F16" i="3" s="1"/>
  <c r="G16" i="3" s="1"/>
  <c r="E17" i="3" l="1"/>
  <c r="F17" i="3" s="1"/>
  <c r="G17" i="3"/>
  <c r="E18" i="3" l="1"/>
  <c r="F18" i="3" l="1"/>
  <c r="D7" i="4"/>
  <c r="E7" i="4" l="1"/>
  <c r="G18" i="3"/>
  <c r="E19" i="3" l="1"/>
  <c r="F7" i="4"/>
  <c r="F19" i="3" l="1"/>
  <c r="G19" i="3" l="1"/>
  <c r="E20" i="3" l="1"/>
  <c r="F20" i="3" l="1"/>
  <c r="G20" i="3" l="1"/>
  <c r="E21" i="3" l="1"/>
  <c r="F21" i="3" l="1"/>
  <c r="G21" i="3" l="1"/>
  <c r="E22" i="3" l="1"/>
  <c r="F22" i="3" l="1"/>
  <c r="G22" i="3" l="1"/>
  <c r="E23" i="3" l="1"/>
  <c r="F23" i="3" s="1"/>
  <c r="G23" i="3" s="1"/>
  <c r="E24" i="3" l="1"/>
  <c r="F24" i="3" s="1"/>
  <c r="G24" i="3"/>
  <c r="E25" i="3" l="1"/>
  <c r="F25" i="3" s="1"/>
  <c r="G25" i="3" s="1"/>
  <c r="E26" i="3" l="1"/>
  <c r="F26" i="3" s="1"/>
  <c r="G26" i="3" s="1"/>
  <c r="E27" i="3" l="1"/>
  <c r="F27" i="3" s="1"/>
  <c r="G27" i="3"/>
  <c r="E28" i="3" l="1"/>
  <c r="F28" i="3" s="1"/>
  <c r="G28" i="3"/>
  <c r="E29" i="3" l="1"/>
  <c r="F29" i="3" s="1"/>
  <c r="G29" i="3" s="1"/>
  <c r="E30" i="3" l="1"/>
  <c r="F30" i="3" l="1"/>
  <c r="D8" i="4"/>
  <c r="E8" i="4" l="1"/>
  <c r="G30" i="3"/>
  <c r="E31" i="3" l="1"/>
  <c r="F8" i="4"/>
  <c r="F31" i="3" l="1"/>
  <c r="G31" i="3" l="1"/>
  <c r="E32" i="3" l="1"/>
  <c r="F32" i="3" l="1"/>
  <c r="G32" i="3" l="1"/>
  <c r="E33" i="3" l="1"/>
  <c r="F33" i="3" l="1"/>
  <c r="G33" i="3" l="1"/>
  <c r="E34" i="3" l="1"/>
  <c r="F34" i="3" l="1"/>
  <c r="G34" i="3" l="1"/>
  <c r="E35" i="3" l="1"/>
  <c r="F35" i="3" s="1"/>
  <c r="G35" i="3" s="1"/>
  <c r="E36" i="3" l="1"/>
  <c r="F36" i="3" s="1"/>
  <c r="G36" i="3" s="1"/>
  <c r="E37" i="3" l="1"/>
  <c r="F37" i="3" s="1"/>
  <c r="G37" i="3"/>
  <c r="E38" i="3" l="1"/>
  <c r="F38" i="3" s="1"/>
  <c r="G38" i="3" s="1"/>
  <c r="E39" i="3" l="1"/>
  <c r="F39" i="3" s="1"/>
  <c r="G39" i="3" s="1"/>
  <c r="E40" i="3" l="1"/>
  <c r="F40" i="3" s="1"/>
  <c r="G40" i="3"/>
  <c r="E41" i="3" l="1"/>
  <c r="F41" i="3" s="1"/>
  <c r="G41" i="3" s="1"/>
  <c r="E42" i="3" l="1"/>
  <c r="F42" i="3" l="1"/>
  <c r="D9" i="4"/>
  <c r="E9" i="4" l="1"/>
  <c r="G42" i="3"/>
  <c r="E43" i="3" l="1"/>
  <c r="F9" i="4"/>
  <c r="F43" i="3" l="1"/>
  <c r="G43" i="3" l="1"/>
  <c r="E44" i="3" l="1"/>
  <c r="F44" i="3" l="1"/>
  <c r="G44" i="3" l="1"/>
  <c r="E45" i="3" l="1"/>
  <c r="F45" i="3" l="1"/>
  <c r="G45" i="3" l="1"/>
  <c r="E46" i="3" l="1"/>
  <c r="F46" i="3" l="1"/>
  <c r="G46" i="3" l="1"/>
  <c r="E47" i="3" l="1"/>
  <c r="F47" i="3" s="1"/>
  <c r="G47" i="3" s="1"/>
  <c r="E48" i="3" l="1"/>
  <c r="F48" i="3" s="1"/>
  <c r="G48" i="3" s="1"/>
  <c r="E49" i="3" l="1"/>
  <c r="F49" i="3" s="1"/>
  <c r="G49" i="3" s="1"/>
  <c r="E50" i="3" l="1"/>
  <c r="F50" i="3" s="1"/>
  <c r="G50" i="3" s="1"/>
  <c r="E51" i="3" l="1"/>
  <c r="F51" i="3" s="1"/>
  <c r="G51" i="3" s="1"/>
  <c r="E52" i="3" l="1"/>
  <c r="F52" i="3" s="1"/>
  <c r="G52" i="3" s="1"/>
  <c r="E53" i="3" l="1"/>
  <c r="F53" i="3" s="1"/>
  <c r="G53" i="3" s="1"/>
  <c r="E54" i="3" l="1"/>
  <c r="F54" i="3" l="1"/>
  <c r="D10" i="4"/>
  <c r="E10" i="4" l="1"/>
  <c r="G54" i="3"/>
  <c r="E55" i="3" l="1"/>
  <c r="F10" i="4"/>
  <c r="F55" i="3" l="1"/>
  <c r="G55" i="3" l="1"/>
  <c r="E56" i="3" l="1"/>
  <c r="F56" i="3" l="1"/>
  <c r="G56" i="3" l="1"/>
  <c r="E57" i="3" l="1"/>
  <c r="F57" i="3" l="1"/>
  <c r="G57" i="3" l="1"/>
  <c r="E58" i="3" l="1"/>
  <c r="F58" i="3" l="1"/>
  <c r="G58" i="3" l="1"/>
  <c r="E59" i="3" l="1"/>
  <c r="F59" i="3" s="1"/>
  <c r="G59" i="3" s="1"/>
  <c r="E60" i="3" l="1"/>
  <c r="F60" i="3" s="1"/>
  <c r="G60" i="3" s="1"/>
  <c r="E61" i="3" l="1"/>
  <c r="F61" i="3" s="1"/>
  <c r="G61" i="3" s="1"/>
  <c r="E62" i="3" l="1"/>
  <c r="F62" i="3" s="1"/>
  <c r="G62" i="3"/>
  <c r="E63" i="3" l="1"/>
  <c r="F63" i="3" s="1"/>
  <c r="G63" i="3"/>
  <c r="E64" i="3" l="1"/>
  <c r="F64" i="3" s="1"/>
  <c r="G64" i="3" s="1"/>
  <c r="E65" i="3" l="1"/>
  <c r="F65" i="3" s="1"/>
  <c r="G65" i="3"/>
  <c r="E66" i="3" l="1"/>
  <c r="F66" i="3" l="1"/>
  <c r="D11" i="4"/>
  <c r="E11" i="4" l="1"/>
  <c r="G66" i="3"/>
  <c r="E67" i="3" l="1"/>
  <c r="F11" i="4"/>
  <c r="F67" i="3" l="1"/>
  <c r="G67" i="3" l="1"/>
  <c r="E68" i="3" l="1"/>
  <c r="F68" i="3" l="1"/>
  <c r="G68" i="3" l="1"/>
  <c r="E69" i="3" l="1"/>
  <c r="F69" i="3" l="1"/>
  <c r="G69" i="3" l="1"/>
  <c r="E70" i="3" l="1"/>
  <c r="F70" i="3" l="1"/>
  <c r="G70" i="3" l="1"/>
  <c r="E71" i="3" l="1"/>
  <c r="F71" i="3" s="1"/>
  <c r="G71" i="3" s="1"/>
  <c r="E72" i="3" l="1"/>
  <c r="F72" i="3" s="1"/>
  <c r="G72" i="3" s="1"/>
  <c r="E73" i="3" l="1"/>
  <c r="F73" i="3" s="1"/>
  <c r="G73" i="3"/>
  <c r="E74" i="3" l="1"/>
  <c r="F74" i="3" s="1"/>
  <c r="G74" i="3" s="1"/>
  <c r="E75" i="3" l="1"/>
  <c r="F75" i="3" s="1"/>
  <c r="G75" i="3" s="1"/>
  <c r="E76" i="3" l="1"/>
  <c r="F76" i="3" s="1"/>
  <c r="G76" i="3"/>
  <c r="E77" i="3" l="1"/>
  <c r="F77" i="3" s="1"/>
  <c r="G77" i="3" s="1"/>
  <c r="E78" i="3" l="1"/>
  <c r="F78" i="3" l="1"/>
  <c r="D12" i="4"/>
  <c r="E12" i="4" l="1"/>
  <c r="G78" i="3"/>
  <c r="E79" i="3" l="1"/>
  <c r="F12" i="4"/>
  <c r="F79" i="3" l="1"/>
  <c r="G79" i="3" l="1"/>
  <c r="E80" i="3" l="1"/>
  <c r="F80" i="3" l="1"/>
  <c r="G80" i="3" l="1"/>
  <c r="E81" i="3" l="1"/>
  <c r="F81" i="3" l="1"/>
  <c r="G81" i="3" l="1"/>
  <c r="E82" i="3" l="1"/>
  <c r="F82" i="3" l="1"/>
  <c r="G82" i="3" l="1"/>
  <c r="G83" i="3" l="1"/>
  <c r="E83" i="3"/>
  <c r="F83" i="3" s="1"/>
  <c r="E84" i="3" l="1"/>
  <c r="F84" i="3" s="1"/>
  <c r="G84" i="3"/>
  <c r="E85" i="3" l="1"/>
  <c r="F85" i="3" s="1"/>
  <c r="G85" i="3" s="1"/>
  <c r="E86" i="3" l="1"/>
  <c r="F86" i="3" s="1"/>
  <c r="G86" i="3"/>
  <c r="E87" i="3" l="1"/>
  <c r="F87" i="3" s="1"/>
  <c r="G87" i="3"/>
  <c r="E88" i="3" l="1"/>
  <c r="F88" i="3" s="1"/>
  <c r="G88" i="3" s="1"/>
  <c r="E89" i="3" l="1"/>
  <c r="F89" i="3" s="1"/>
  <c r="G89" i="3"/>
  <c r="E90" i="3" l="1"/>
  <c r="F90" i="3" l="1"/>
  <c r="D13" i="4"/>
  <c r="E13" i="4" l="1"/>
  <c r="G90" i="3"/>
  <c r="E91" i="3" l="1"/>
  <c r="F13" i="4"/>
  <c r="F91" i="3" l="1"/>
  <c r="G91" i="3" l="1"/>
  <c r="E92" i="3" l="1"/>
  <c r="F92" i="3" l="1"/>
  <c r="G92" i="3" l="1"/>
  <c r="E93" i="3" l="1"/>
  <c r="F93" i="3" l="1"/>
  <c r="G93" i="3" l="1"/>
  <c r="E94" i="3" l="1"/>
  <c r="F94" i="3" l="1"/>
  <c r="G94" i="3" l="1"/>
  <c r="E95" i="3" l="1"/>
  <c r="F95" i="3" s="1"/>
  <c r="G95" i="3" s="1"/>
  <c r="E96" i="3" l="1"/>
  <c r="F96" i="3" s="1"/>
  <c r="G96" i="3" s="1"/>
  <c r="E97" i="3" l="1"/>
  <c r="F97" i="3" s="1"/>
  <c r="G97" i="3"/>
  <c r="E98" i="3" l="1"/>
  <c r="F98" i="3" s="1"/>
  <c r="G98" i="3" s="1"/>
  <c r="E99" i="3" l="1"/>
  <c r="F99" i="3" s="1"/>
  <c r="G99" i="3"/>
  <c r="E100" i="3" l="1"/>
  <c r="F100" i="3" s="1"/>
  <c r="G100" i="3" s="1"/>
  <c r="E101" i="3" l="1"/>
  <c r="F101" i="3" s="1"/>
  <c r="G101" i="3"/>
  <c r="E102" i="3" l="1"/>
  <c r="F102" i="3" l="1"/>
  <c r="D14" i="4"/>
  <c r="E14" i="4" l="1"/>
  <c r="G102" i="3"/>
  <c r="E103" i="3" l="1"/>
  <c r="F14" i="4"/>
  <c r="F103" i="3" l="1"/>
  <c r="G103" i="3" l="1"/>
  <c r="E104" i="3" l="1"/>
  <c r="F104" i="3" l="1"/>
  <c r="G104" i="3" l="1"/>
  <c r="E105" i="3" l="1"/>
  <c r="F105" i="3" l="1"/>
  <c r="G105" i="3" l="1"/>
  <c r="E106" i="3" l="1"/>
  <c r="F106" i="3" l="1"/>
  <c r="G106" i="3" l="1"/>
  <c r="E107" i="3" l="1"/>
  <c r="F107" i="3" s="1"/>
  <c r="G107" i="3"/>
  <c r="E108" i="3" l="1"/>
  <c r="F108" i="3" s="1"/>
  <c r="G108" i="3" s="1"/>
  <c r="E109" i="3" l="1"/>
  <c r="F109" i="3" s="1"/>
  <c r="G109" i="3"/>
  <c r="E110" i="3" l="1"/>
  <c r="F110" i="3" s="1"/>
  <c r="G110" i="3" s="1"/>
  <c r="E111" i="3" l="1"/>
  <c r="F111" i="3" s="1"/>
  <c r="G111" i="3"/>
  <c r="E112" i="3" l="1"/>
  <c r="F112" i="3" s="1"/>
  <c r="G112" i="3" s="1"/>
  <c r="E113" i="3" l="1"/>
  <c r="F113" i="3" s="1"/>
  <c r="G113" i="3"/>
  <c r="E114" i="3" l="1"/>
  <c r="F114" i="3" l="1"/>
  <c r="D15" i="4"/>
  <c r="E15" i="4" l="1"/>
  <c r="G114" i="3"/>
  <c r="E115" i="3" l="1"/>
  <c r="F15" i="4"/>
  <c r="F115" i="3" l="1"/>
  <c r="G115" i="3" l="1"/>
  <c r="E116" i="3" l="1"/>
  <c r="F116" i="3" l="1"/>
  <c r="G116" i="3" l="1"/>
  <c r="E117" i="3" l="1"/>
  <c r="F117" i="3" l="1"/>
  <c r="G117" i="3" l="1"/>
  <c r="E118" i="3" l="1"/>
  <c r="F118" i="3" l="1"/>
  <c r="G118" i="3" l="1"/>
  <c r="E119" i="3" l="1"/>
  <c r="F119" i="3" s="1"/>
  <c r="G119" i="3"/>
  <c r="E120" i="3" l="1"/>
  <c r="F120" i="3" s="1"/>
  <c r="G120" i="3" s="1"/>
  <c r="E121" i="3" l="1"/>
  <c r="F121" i="3" s="1"/>
  <c r="G121" i="3"/>
  <c r="E122" i="3" l="1"/>
  <c r="F122" i="3" s="1"/>
  <c r="G122" i="3" s="1"/>
  <c r="E123" i="3" l="1"/>
  <c r="F123" i="3" s="1"/>
  <c r="G123" i="3" s="1"/>
  <c r="E124" i="3" l="1"/>
  <c r="F124" i="3" s="1"/>
  <c r="G124" i="3"/>
  <c r="E125" i="3" l="1"/>
  <c r="F125" i="3" s="1"/>
  <c r="G125" i="3" s="1"/>
  <c r="E126" i="3" l="1"/>
  <c r="F126" i="3" l="1"/>
  <c r="D16" i="4"/>
  <c r="E16" i="4" l="1"/>
  <c r="G126" i="3"/>
  <c r="E127" i="3" l="1"/>
  <c r="F16" i="4"/>
  <c r="F127" i="3" l="1"/>
  <c r="G127" i="3" l="1"/>
  <c r="E128" i="3" l="1"/>
  <c r="F128" i="3" l="1"/>
  <c r="G128" i="3" l="1"/>
  <c r="E129" i="3" l="1"/>
  <c r="F129" i="3" l="1"/>
  <c r="G129" i="3" l="1"/>
  <c r="E130" i="3" l="1"/>
  <c r="F130" i="3" l="1"/>
  <c r="G130" i="3" l="1"/>
  <c r="E131" i="3" l="1"/>
  <c r="F131" i="3" s="1"/>
  <c r="G131" i="3" s="1"/>
  <c r="E132" i="3" l="1"/>
  <c r="F132" i="3" s="1"/>
  <c r="G132" i="3"/>
  <c r="E133" i="3" l="1"/>
  <c r="F133" i="3" s="1"/>
  <c r="G133" i="3" s="1"/>
  <c r="E134" i="3" l="1"/>
  <c r="F134" i="3" s="1"/>
  <c r="G134" i="3"/>
  <c r="E135" i="3" l="1"/>
  <c r="F135" i="3" s="1"/>
  <c r="G135" i="3" s="1"/>
  <c r="E136" i="3" l="1"/>
  <c r="F136" i="3" s="1"/>
  <c r="G136" i="3"/>
  <c r="E137" i="3" l="1"/>
  <c r="F137" i="3" s="1"/>
  <c r="G137" i="3" s="1"/>
  <c r="E138" i="3" l="1"/>
  <c r="F138" i="3" l="1"/>
  <c r="D17" i="4"/>
  <c r="E17" i="4" l="1"/>
  <c r="G138" i="3"/>
  <c r="E139" i="3" l="1"/>
  <c r="F17" i="4"/>
  <c r="F139" i="3" l="1"/>
  <c r="G139" i="3" l="1"/>
  <c r="E140" i="3" l="1"/>
  <c r="F140" i="3" l="1"/>
  <c r="G140" i="3" l="1"/>
  <c r="E141" i="3" l="1"/>
  <c r="F141" i="3" l="1"/>
  <c r="G141" i="3" l="1"/>
  <c r="E142" i="3" l="1"/>
  <c r="F142" i="3" l="1"/>
  <c r="G142" i="3" l="1"/>
  <c r="E143" i="3" l="1"/>
  <c r="F143" i="3" s="1"/>
  <c r="G143" i="3" s="1"/>
  <c r="E144" i="3" l="1"/>
  <c r="F144" i="3" s="1"/>
  <c r="G144" i="3"/>
  <c r="E145" i="3" l="1"/>
  <c r="F145" i="3" s="1"/>
  <c r="G145" i="3" s="1"/>
  <c r="E146" i="3" l="1"/>
  <c r="F146" i="3" s="1"/>
  <c r="G146" i="3"/>
  <c r="E147" i="3" l="1"/>
  <c r="F147" i="3" s="1"/>
  <c r="G147" i="3" s="1"/>
  <c r="E148" i="3" l="1"/>
  <c r="F148" i="3" s="1"/>
  <c r="G148" i="3"/>
  <c r="E149" i="3" l="1"/>
  <c r="F149" i="3" s="1"/>
  <c r="G149" i="3" s="1"/>
  <c r="E150" i="3" l="1"/>
  <c r="F150" i="3" l="1"/>
  <c r="D18" i="4"/>
  <c r="E18" i="4" l="1"/>
  <c r="G150" i="3"/>
  <c r="E151" i="3" l="1"/>
  <c r="F18" i="4"/>
  <c r="F151" i="3" l="1"/>
  <c r="G151" i="3" l="1"/>
  <c r="E152" i="3" l="1"/>
  <c r="F152" i="3" l="1"/>
  <c r="G152" i="3" l="1"/>
  <c r="E153" i="3" l="1"/>
  <c r="F153" i="3" l="1"/>
  <c r="G153" i="3" l="1"/>
  <c r="E154" i="3" l="1"/>
  <c r="F154" i="3" l="1"/>
  <c r="G154" i="3" l="1"/>
  <c r="G155" i="3" l="1"/>
  <c r="E155" i="3"/>
  <c r="F155" i="3" s="1"/>
  <c r="E156" i="3" l="1"/>
  <c r="F156" i="3" s="1"/>
  <c r="G156" i="3"/>
  <c r="G157" i="3" l="1"/>
  <c r="E157" i="3"/>
  <c r="F157" i="3" s="1"/>
  <c r="G158" i="3" l="1"/>
  <c r="E158" i="3"/>
  <c r="F158" i="3" s="1"/>
  <c r="E159" i="3" l="1"/>
  <c r="F159" i="3" s="1"/>
  <c r="G159" i="3"/>
  <c r="E160" i="3" l="1"/>
  <c r="F160" i="3" s="1"/>
  <c r="G160" i="3" s="1"/>
  <c r="E161" i="3" l="1"/>
  <c r="F161" i="3" s="1"/>
  <c r="G161" i="3"/>
  <c r="E162" i="3" l="1"/>
  <c r="F162" i="3" l="1"/>
  <c r="D19" i="4"/>
  <c r="E19" i="4" l="1"/>
  <c r="G162" i="3"/>
  <c r="E163" i="3" l="1"/>
  <c r="F19" i="4"/>
  <c r="F163" i="3" l="1"/>
  <c r="G163" i="3" l="1"/>
  <c r="E164" i="3" l="1"/>
  <c r="F164" i="3" l="1"/>
  <c r="G164" i="3" l="1"/>
  <c r="E165" i="3" l="1"/>
  <c r="F165" i="3" l="1"/>
  <c r="G165" i="3" l="1"/>
  <c r="E166" i="3" l="1"/>
  <c r="F166" i="3" l="1"/>
  <c r="G166" i="3" l="1"/>
  <c r="E167" i="3" l="1"/>
  <c r="F167" i="3" s="1"/>
  <c r="G167" i="3" s="1"/>
  <c r="E168" i="3" l="1"/>
  <c r="F168" i="3" s="1"/>
  <c r="G168" i="3" s="1"/>
  <c r="E169" i="3" l="1"/>
  <c r="F169" i="3" s="1"/>
  <c r="G169" i="3" s="1"/>
  <c r="E170" i="3" l="1"/>
  <c r="F170" i="3" s="1"/>
  <c r="G170" i="3" s="1"/>
  <c r="E171" i="3" l="1"/>
  <c r="F171" i="3" s="1"/>
  <c r="G171" i="3"/>
  <c r="E172" i="3" l="1"/>
  <c r="F172" i="3" s="1"/>
  <c r="G172" i="3" s="1"/>
  <c r="E173" i="3" l="1"/>
  <c r="F173" i="3" s="1"/>
  <c r="G173" i="3"/>
  <c r="E174" i="3" l="1"/>
  <c r="F174" i="3" l="1"/>
  <c r="D20" i="4"/>
  <c r="E20" i="4" l="1"/>
  <c r="G174" i="3"/>
  <c r="E175" i="3" l="1"/>
  <c r="F20" i="4"/>
  <c r="F175" i="3" l="1"/>
  <c r="G175" i="3" l="1"/>
  <c r="E176" i="3" l="1"/>
  <c r="F176" i="3" l="1"/>
  <c r="G176" i="3" l="1"/>
  <c r="E177" i="3" l="1"/>
  <c r="F177" i="3" l="1"/>
  <c r="G177" i="3" l="1"/>
  <c r="E178" i="3" l="1"/>
  <c r="F178" i="3" l="1"/>
  <c r="G178" i="3" l="1"/>
  <c r="E179" i="3" l="1"/>
  <c r="F179" i="3" s="1"/>
  <c r="G179" i="3"/>
  <c r="E180" i="3" l="1"/>
  <c r="F180" i="3" s="1"/>
  <c r="G180" i="3" s="1"/>
  <c r="E181" i="3" l="1"/>
  <c r="F181" i="3" s="1"/>
  <c r="G181" i="3"/>
  <c r="E182" i="3" l="1"/>
  <c r="F182" i="3" s="1"/>
  <c r="G182" i="3" s="1"/>
  <c r="E183" i="3" l="1"/>
  <c r="F183" i="3" s="1"/>
  <c r="G183" i="3"/>
  <c r="E184" i="3" l="1"/>
  <c r="F184" i="3" s="1"/>
  <c r="G184" i="3" s="1"/>
  <c r="E185" i="3" l="1"/>
  <c r="F185" i="3" s="1"/>
  <c r="G185" i="3"/>
  <c r="E186" i="3" l="1"/>
  <c r="F186" i="3" l="1"/>
  <c r="D21" i="4"/>
  <c r="E21" i="4" l="1"/>
  <c r="G186" i="3"/>
  <c r="E187" i="3" l="1"/>
  <c r="F21" i="4"/>
  <c r="F187" i="3" l="1"/>
  <c r="G187" i="3" l="1"/>
  <c r="E188" i="3" l="1"/>
  <c r="F188" i="3" l="1"/>
  <c r="G188" i="3" l="1"/>
  <c r="E189" i="3" l="1"/>
  <c r="F189" i="3" l="1"/>
  <c r="G189" i="3" l="1"/>
  <c r="E190" i="3" l="1"/>
  <c r="F190" i="3" l="1"/>
  <c r="G190" i="3" l="1"/>
  <c r="E191" i="3" l="1"/>
  <c r="F191" i="3" s="1"/>
  <c r="G191" i="3" s="1"/>
  <c r="E192" i="3" l="1"/>
  <c r="F192" i="3" s="1"/>
  <c r="G192" i="3" s="1"/>
  <c r="E193" i="3" l="1"/>
  <c r="F193" i="3" s="1"/>
  <c r="G193" i="3"/>
  <c r="E194" i="3" l="1"/>
  <c r="F194" i="3" s="1"/>
  <c r="G194" i="3"/>
  <c r="E195" i="3" l="1"/>
  <c r="F195" i="3" s="1"/>
  <c r="G195" i="3" s="1"/>
  <c r="E196" i="3" l="1"/>
  <c r="F196" i="3" s="1"/>
  <c r="G196" i="3" s="1"/>
  <c r="E197" i="3" l="1"/>
  <c r="F197" i="3" s="1"/>
  <c r="G197" i="3" s="1"/>
  <c r="E198" i="3" l="1"/>
  <c r="F198" i="3" l="1"/>
  <c r="D22" i="4"/>
  <c r="E22" i="4" l="1"/>
  <c r="G198" i="3"/>
  <c r="E199" i="3" l="1"/>
  <c r="F22" i="4"/>
  <c r="F199" i="3" l="1"/>
  <c r="G199" i="3" l="1"/>
  <c r="E200" i="3" l="1"/>
  <c r="F200" i="3" l="1"/>
  <c r="G200" i="3" l="1"/>
  <c r="E201" i="3" l="1"/>
  <c r="F201" i="3" l="1"/>
  <c r="G201" i="3" l="1"/>
  <c r="E202" i="3" l="1"/>
  <c r="F202" i="3" l="1"/>
  <c r="G202" i="3" l="1"/>
  <c r="G203" i="3" l="1"/>
  <c r="E203" i="3"/>
  <c r="F203" i="3" s="1"/>
  <c r="E204" i="3" l="1"/>
  <c r="F204" i="3" s="1"/>
  <c r="G204" i="3" s="1"/>
  <c r="E205" i="3" l="1"/>
  <c r="F205" i="3" s="1"/>
  <c r="G205" i="3" s="1"/>
  <c r="E206" i="3" l="1"/>
  <c r="F206" i="3" s="1"/>
  <c r="G206" i="3" s="1"/>
  <c r="E207" i="3" l="1"/>
  <c r="F207" i="3" s="1"/>
  <c r="G207" i="3"/>
  <c r="E208" i="3" l="1"/>
  <c r="F208" i="3" s="1"/>
  <c r="G208" i="3" s="1"/>
  <c r="E209" i="3" l="1"/>
  <c r="F209" i="3" s="1"/>
  <c r="G209" i="3"/>
  <c r="E210" i="3" l="1"/>
  <c r="F210" i="3" l="1"/>
  <c r="D23" i="4"/>
  <c r="E23" i="4" l="1"/>
  <c r="G210" i="3"/>
  <c r="E211" i="3" l="1"/>
  <c r="F23" i="4"/>
  <c r="F211" i="3" l="1"/>
  <c r="G211" i="3" l="1"/>
  <c r="E212" i="3" l="1"/>
  <c r="F212" i="3" l="1"/>
  <c r="G212" i="3" l="1"/>
  <c r="E213" i="3" l="1"/>
  <c r="F213" i="3" l="1"/>
  <c r="G213" i="3" l="1"/>
  <c r="E214" i="3" l="1"/>
  <c r="F214" i="3" l="1"/>
  <c r="G214" i="3" l="1"/>
  <c r="E215" i="3" l="1"/>
  <c r="F215" i="3" s="1"/>
  <c r="G215" i="3" s="1"/>
  <c r="E216" i="3" l="1"/>
  <c r="F216" i="3" s="1"/>
  <c r="G216" i="3" s="1"/>
  <c r="E217" i="3" l="1"/>
  <c r="F217" i="3" s="1"/>
  <c r="G217" i="3" s="1"/>
  <c r="E218" i="3" l="1"/>
  <c r="F218" i="3" s="1"/>
  <c r="G218" i="3" s="1"/>
  <c r="E219" i="3" l="1"/>
  <c r="F219" i="3" s="1"/>
  <c r="G219" i="3" s="1"/>
  <c r="E220" i="3" l="1"/>
  <c r="F220" i="3" s="1"/>
  <c r="G220" i="3" s="1"/>
  <c r="E221" i="3" l="1"/>
  <c r="F221" i="3" s="1"/>
  <c r="G221" i="3" s="1"/>
  <c r="E222" i="3" l="1"/>
  <c r="F222" i="3" l="1"/>
  <c r="D24" i="4"/>
  <c r="E24" i="4" l="1"/>
  <c r="G222" i="3"/>
  <c r="E223" i="3" l="1"/>
  <c r="F24" i="4"/>
  <c r="F223" i="3" l="1"/>
  <c r="G223" i="3" l="1"/>
  <c r="E224" i="3" l="1"/>
  <c r="F224" i="3" l="1"/>
  <c r="G224" i="3" l="1"/>
  <c r="E225" i="3" l="1"/>
  <c r="F225" i="3" l="1"/>
  <c r="G225" i="3" l="1"/>
  <c r="E226" i="3" l="1"/>
  <c r="F226" i="3" s="1"/>
  <c r="G226" i="3" l="1"/>
  <c r="E227" i="3" l="1"/>
  <c r="F227" i="3" s="1"/>
  <c r="G227" i="3" s="1"/>
  <c r="E228" i="3" l="1"/>
  <c r="F228" i="3" s="1"/>
  <c r="G228" i="3"/>
  <c r="E229" i="3" l="1"/>
  <c r="F229" i="3" s="1"/>
  <c r="G229" i="3"/>
  <c r="E230" i="3" l="1"/>
  <c r="F230" i="3" s="1"/>
  <c r="G230" i="3" s="1"/>
  <c r="E231" i="3" l="1"/>
  <c r="F231" i="3" s="1"/>
  <c r="G231" i="3" s="1"/>
  <c r="E232" i="3" l="1"/>
  <c r="F232" i="3" s="1"/>
  <c r="G232" i="3"/>
  <c r="E233" i="3" l="1"/>
  <c r="F233" i="3" s="1"/>
  <c r="G233" i="3" s="1"/>
  <c r="E234" i="3" l="1"/>
  <c r="F234" i="3" l="1"/>
  <c r="D25" i="4"/>
  <c r="E25" i="4" l="1"/>
  <c r="G234" i="3"/>
  <c r="E235" i="3" l="1"/>
  <c r="F25" i="4"/>
  <c r="F235" i="3" l="1"/>
  <c r="G235" i="3" l="1"/>
  <c r="E236" i="3" l="1"/>
  <c r="F236" i="3" l="1"/>
  <c r="G236" i="3" l="1"/>
  <c r="E237" i="3" l="1"/>
  <c r="F237" i="3" l="1"/>
  <c r="G237" i="3" l="1"/>
  <c r="E238" i="3" l="1"/>
  <c r="F238" i="3" s="1"/>
  <c r="G238" i="3" l="1"/>
  <c r="E239" i="3" l="1"/>
  <c r="F239" i="3" s="1"/>
  <c r="G239" i="3" s="1"/>
  <c r="E240" i="3" l="1"/>
  <c r="F240" i="3" s="1"/>
  <c r="G240" i="3"/>
  <c r="E241" i="3" l="1"/>
  <c r="F241" i="3" s="1"/>
  <c r="G241" i="3"/>
  <c r="E242" i="3" l="1"/>
  <c r="F242" i="3" s="1"/>
  <c r="G242" i="3" s="1"/>
  <c r="E243" i="3" l="1"/>
  <c r="F243" i="3" s="1"/>
  <c r="G243" i="3" s="1"/>
  <c r="E244" i="3" l="1"/>
  <c r="F244" i="3" s="1"/>
  <c r="G244" i="3"/>
  <c r="E245" i="3" l="1"/>
  <c r="F245" i="3" s="1"/>
  <c r="G245" i="3" s="1"/>
  <c r="E246" i="3" l="1"/>
  <c r="F246" i="3" l="1"/>
  <c r="D26" i="4"/>
  <c r="D37" i="4" s="1"/>
  <c r="E26" i="4" l="1"/>
  <c r="E37" i="4" s="1"/>
  <c r="G246" i="3"/>
  <c r="F26" i="4" s="1"/>
</calcChain>
</file>

<file path=xl/sharedStrings.xml><?xml version="1.0" encoding="utf-8"?>
<sst xmlns="http://schemas.openxmlformats.org/spreadsheetml/2006/main" count="58" uniqueCount="49">
  <si>
    <t>CALC GURU  |  calcguru.in</t>
  </si>
  <si>
    <t>EMI Amortisation Calculator</t>
  </si>
  <si>
    <t>Prepared by CA Tirumalesh Malla  |  https://calcguru.in</t>
  </si>
  <si>
    <t>Home / Personal / Car Loan — month-wise principal &amp; interest schedule</t>
  </si>
  <si>
    <t>About this utility</t>
  </si>
  <si>
    <t>Enter your loan amount, interest rate and tenure on the Calculator sheet. This workbook instantly computes your EMI, total interest outgo and full month-wise amortisation schedule (up to 360 months / 30 years). Yellow cells are editable; everything else is locked for accuracy.</t>
  </si>
  <si>
    <t>How to use</t>
  </si>
  <si>
    <t>1. Go to the 'Calculator' sheet.</t>
  </si>
  <si>
    <t>2. Enter Loan Amount (₹), Annual Interest Rate (%), Tenure (months) and Start Month.</t>
  </si>
  <si>
    <t>3. Your EMI, total interest and total repayment appear instantly.</t>
  </si>
  <si>
    <t>4. Open the 'Amortisation Schedule' sheet for month-wise breakup.</t>
  </si>
  <si>
    <t>5. Open 'Summary' for yearly totals.</t>
  </si>
  <si>
    <t>Disclaimer</t>
  </si>
  <si>
    <t>This is an indicative calculator for planning purposes. Actual EMI from your lender may vary due to processing charges, GST, insurance, rounding, fluctuating rates (for floating-rate loans) or different day-count conventions. Always verify with your bank's sanction letter before signing.</t>
  </si>
  <si>
    <t>Calc Guru  |  Prepared by CA Tirumalesh Malla  |  calcguru.in    —    For indicative estimation only. Verify before filing or transacting.</t>
  </si>
  <si>
    <t>EMI Calculator — Inputs &amp; Summary</t>
  </si>
  <si>
    <t>Fill yellow cells only. All formulas are locked.</t>
  </si>
  <si>
    <t>Loan Inputs</t>
  </si>
  <si>
    <t>Loan Amount (₹)</t>
  </si>
  <si>
    <t>Tenure (Years)</t>
  </si>
  <si>
    <t>Annual Interest Rate (%)</t>
  </si>
  <si>
    <t>EMI as multiple of Principal</t>
  </si>
  <si>
    <t>Loan Tenure (months)</t>
  </si>
  <si>
    <t>Avg. Monthly Interest</t>
  </si>
  <si>
    <t>Start Date (MM/YYYY)</t>
  </si>
  <si>
    <t>Avg. Monthly Principal</t>
  </si>
  <si>
    <t>Monthly Interest Rate</t>
  </si>
  <si>
    <t>Results</t>
  </si>
  <si>
    <t>Monthly EMI (₹)</t>
  </si>
  <si>
    <t>Total Interest Payable (₹)</t>
  </si>
  <si>
    <t>Total Repayment (₹)</t>
  </si>
  <si>
    <t>Interest as % of Principal</t>
  </si>
  <si>
    <t>Loan Closure Date</t>
  </si>
  <si>
    <t>Amortisation Schedule (up to 360 months)</t>
  </si>
  <si>
    <t>Auto-hidden rows if tenure is shorter than 360 months.</t>
  </si>
  <si>
    <t>Month #</t>
  </si>
  <si>
    <t>Month</t>
  </si>
  <si>
    <t>EMI (₹)</t>
  </si>
  <si>
    <t>Interest (₹)</t>
  </si>
  <si>
    <t>Principal (₹)</t>
  </si>
  <si>
    <t>Balance (₹)</t>
  </si>
  <si>
    <t>Yearly Summary (up to 30 years)</t>
  </si>
  <si>
    <t>Sum of EMI, Interest and Principal paid per year.</t>
  </si>
  <si>
    <t>Year</t>
  </si>
  <si>
    <t>Total EMI (₹)</t>
  </si>
  <si>
    <t>Interest Paid (₹)</t>
  </si>
  <si>
    <t>Principal Paid (₹)</t>
  </si>
  <si>
    <t>Closing Balance (₹)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</si>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</sst>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\₹#,##0"/>
    <numFmt numFmtId="165" formatCode="0.0&quot; yrs&quot;"/>
    <numFmt numFmtId="166" formatCode="0.00\%"/>
    <numFmt numFmtId="167" formatCode="0.00\x"/>
    <numFmt numFmtId="168" formatCode="mmm\-yyyy"/>
    <numFmt numFmtId="169" formatCode="0.000000%"/>
    <numFmt numFmtId="170" formatCode="\₹#,##0.00"/>
    <numFmt numFmtId="171" formatCode="0.0%"/>
  </numFmts>
  <fonts count="15" x14ac:knownFonts="1">
    <font>
      <sz val="11"/>
      <color theme="1"/>
      <name val="Calibri"/>
      <family val="2"/>
      <charset val="1"/>
    </font>
    <font>
      <b/>
      <sz val="14"/>
      <color rgb="FFFFFFFF"/>
      <name val="Calibri"/>
      <charset val="1"/>
    </font>
    <font>
      <b/>
      <sz val="16"/>
      <color rgb="FF1E3A8A"/>
      <name val="Calibri"/>
      <charset val="1"/>
    </font>
    <font>
      <i/>
      <sz val="10"/>
      <color rgb="FF64748B"/>
      <name val="Calibri"/>
      <charset val="1"/>
    </font>
    <font>
      <i/>
      <sz val="10"/>
      <color rgb="FFF97316"/>
      <name val="Calibri"/>
      <charset val="1"/>
    </font>
    <font>
      <b/>
      <sz val="13"/>
      <color rgb="FF1E3A8A"/>
      <name val="Calibri"/>
      <charset val="1"/>
    </font>
    <font>
      <sz val="11"/>
      <color rgb="FF000000"/>
      <name val="Calibri"/>
      <charset val="1"/>
    </font>
    <font>
      <sz val="11"/>
      <name val="Calibri"/>
      <charset val="1"/>
    </font>
    <font>
      <b/>
      <sz val="12"/>
      <color rgb="FFFFFFFF"/>
      <name val="Calibri"/>
      <charset val="1"/>
    </font>
    <font>
      <i/>
      <sz val="9"/>
      <color rgb="FF64748B"/>
      <name val="Calibri"/>
      <charset val="1"/>
    </font>
    <font>
      <b/>
      <sz val="11"/>
      <color rgb="FF000000"/>
      <name val="Calibri"/>
      <charset val="1"/>
    </font>
    <font>
      <b/>
      <sz val="11"/>
      <color rgb="FF0000FF"/>
      <name val="Calibri"/>
      <charset val="1"/>
    </font>
    <font>
      <b/>
      <sz val="12"/>
      <color rgb="FF1E3A8A"/>
      <name val="Calibri"/>
      <charset val="1"/>
    </font>
    <font>
      <b/>
      <sz val="11"/>
      <color rgb="FFFFFFFF"/>
      <name val="Calibri"/>
      <charset val="1"/>
    </font>
    <font>
      <sz val="10"/>
      <name val="Calibri"/>
      <charset val="1"/>
    </font>
  </fonts>
  <fills count="9">
    <fill>
      <patternFill patternType="none"/>
    </fill>
    <fill>
      <patternFill patternType="gray125"/>
    </fill>
    <fill>
      <patternFill patternType="solid">
        <fgColor rgb="FF1E3A8A"/>
        <bgColor rgb="FF003366"/>
      </patternFill>
    </fill>
    <fill>
      <patternFill patternType="solid">
        <fgColor rgb="FFE0E7FF"/>
        <bgColor rgb="FFE2E8F0"/>
      </patternFill>
    </fill>
    <fill>
      <patternFill patternType="solid">
        <fgColor rgb="FFF97316"/>
        <bgColor rgb="FFFF9900"/>
      </patternFill>
    </fill>
    <fill>
      <patternFill patternType="solid">
        <fgColor rgb="FFE2E8F0"/>
        <bgColor rgb="FFE0E7FF"/>
      </patternFill>
    </fill>
    <fill>
      <patternFill patternType="solid">
        <fgColor rgb="FFFFF4C2"/>
        <bgColor rgb="FFF8FAFC"/>
      </patternFill>
    </fill>
    <fill>
      <patternFill patternType="solid">
        <fgColor rgb="FFF8FAFC"/>
        <bgColor rgb="FFFFFFFF"/>
      </patternFill>
    </fill>
    <fill>
      <patternFill patternType="solid">
        <fgColor rgb="FFDCFCE7"/>
        <bgColor rgb="FFE2E8F0"/>
      </patternFill>
    </fill>
  </fills>
  <borders count="2">
    <border>
      <left/>
      <right/>
      <top/>
      <bottom/>
      <diagonal/>
    </border>
    <border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8" fillId="2" borderId="0" xfId="0" applyFont="1" applyFill="1" applyAlignment="1">
      <alignment horizontal="left" vertical="center" indent="1"/>
    </xf>
    <xf numFmtId="0" fontId="9" fillId="5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8" fillId="4" borderId="0" xfId="0" applyFont="1" applyFill="1" applyAlignment="1">
      <alignment horizontal="left" vertical="center" indent="1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5" fillId="3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0" fillId="0" borderId="1" xfId="0" applyFont="1" applyBorder="1" applyAlignment="1">
      <alignment horizontal="left" vertical="center" indent="1"/>
    </xf>
    <xf numFmtId="164" fontId="11" fillId="6" borderId="1" xfId="0" applyNumberFormat="1" applyFont="1" applyFill="1" applyBorder="1" applyAlignment="1" applyProtection="1">
      <alignment horizontal="right" vertical="center"/>
      <protection locked="0"/>
    </xf>
    <xf numFmtId="165" fontId="6" fillId="7" borderId="1" xfId="0" applyNumberFormat="1" applyFont="1" applyFill="1" applyBorder="1" applyAlignment="1">
      <alignment horizontal="right" vertical="center"/>
    </xf>
    <xf numFmtId="166" fontId="11" fillId="6" borderId="1" xfId="0" applyNumberFormat="1" applyFont="1" applyFill="1" applyBorder="1" applyAlignment="1" applyProtection="1">
      <alignment horizontal="right" vertical="center"/>
      <protection locked="0"/>
    </xf>
    <xf numFmtId="167" fontId="6" fillId="7" borderId="1" xfId="0" applyNumberFormat="1" applyFont="1" applyFill="1" applyBorder="1" applyAlignment="1">
      <alignment horizontal="right" vertical="center"/>
    </xf>
    <xf numFmtId="1" fontId="11" fillId="6" borderId="1" xfId="0" applyNumberFormat="1" applyFont="1" applyFill="1" applyBorder="1" applyAlignment="1" applyProtection="1">
      <alignment horizontal="right" vertical="center"/>
      <protection locked="0"/>
    </xf>
    <xf numFmtId="164" fontId="6" fillId="7" borderId="1" xfId="0" applyNumberFormat="1" applyFont="1" applyFill="1" applyBorder="1" applyAlignment="1">
      <alignment horizontal="right" vertical="center"/>
    </xf>
    <xf numFmtId="168" fontId="11" fillId="6" borderId="1" xfId="0" applyNumberFormat="1" applyFont="1" applyFill="1" applyBorder="1" applyAlignment="1" applyProtection="1">
      <alignment horizontal="right" vertical="center"/>
      <protection locked="0"/>
    </xf>
    <xf numFmtId="169" fontId="6" fillId="7" borderId="1" xfId="0" applyNumberFormat="1" applyFont="1" applyFill="1" applyBorder="1" applyAlignment="1">
      <alignment horizontal="right" vertical="center"/>
    </xf>
    <xf numFmtId="170" fontId="12" fillId="8" borderId="1" xfId="0" applyNumberFormat="1" applyFont="1" applyFill="1" applyBorder="1" applyAlignment="1">
      <alignment horizontal="right" vertical="center"/>
    </xf>
    <xf numFmtId="164" fontId="12" fillId="8" borderId="1" xfId="0" applyNumberFormat="1" applyFont="1" applyFill="1" applyBorder="1" applyAlignment="1">
      <alignment horizontal="right" vertical="center"/>
    </xf>
    <xf numFmtId="171" fontId="6" fillId="7" borderId="1" xfId="0" applyNumberFormat="1" applyFont="1" applyFill="1" applyBorder="1" applyAlignment="1">
      <alignment horizontal="right" vertical="center"/>
    </xf>
    <xf numFmtId="168" fontId="6" fillId="7" borderId="1" xfId="0" applyNumberFormat="1" applyFont="1" applyFill="1" applyBorder="1" applyAlignment="1">
      <alignment horizontal="right" vertical="center"/>
    </xf>
    <xf numFmtId="0" fontId="13" fillId="2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/>
    </xf>
    <xf numFmtId="168" fontId="14" fillId="7" borderId="1" xfId="0" applyNumberFormat="1" applyFont="1" applyFill="1" applyBorder="1" applyAlignment="1">
      <alignment horizontal="center" vertical="center"/>
    </xf>
    <xf numFmtId="170" fontId="14" fillId="7" borderId="1" xfId="0" applyNumberFormat="1" applyFont="1" applyFill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168" fontId="14" fillId="0" borderId="1" xfId="0" applyNumberFormat="1" applyFont="1" applyBorder="1" applyAlignment="1">
      <alignment horizontal="center" vertical="center"/>
    </xf>
    <xf numFmtId="170" fontId="14" fillId="0" borderId="1" xfId="0" applyNumberFormat="1" applyFont="1" applyBorder="1" applyAlignment="1">
      <alignment horizontal="right" vertical="center"/>
    </xf>
    <xf numFmtId="1" fontId="7" fillId="7" borderId="1" xfId="0" applyNumberFormat="1" applyFont="1" applyFill="1" applyBorder="1" applyAlignment="1">
      <alignment horizontal="center" vertical="center"/>
    </xf>
    <xf numFmtId="164" fontId="7" fillId="7" borderId="1" xfId="0" applyNumberFormat="1" applyFont="1" applyFill="1" applyBorder="1" applyAlignment="1">
      <alignment horizontal="right" vertical="center"/>
    </xf>
    <xf numFmtId="1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right" vertical="center"/>
    </xf>
    <xf numFmtId="164" fontId="13" fillId="2" borderId="1" xfId="0" applyNumberFormat="1" applyFont="1" applyFill="1" applyBorder="1" applyAlignment="1">
      <alignment horizontal="right" vertical="center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4C2"/>
      <rgbColor rgb="FFDCFC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0E7FF"/>
      <rgbColor rgb="FFE2E8F0"/>
      <rgbColor rgb="FFF8FAF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zoomScaleNormal="100" workbookViewId="0">
      <selection sqref="A1:H1"/>
    </sheetView>
  </sheetViews>
  <sheetFormatPr defaultColWidth="8.7109375" defaultRowHeight="15" x14ac:dyDescent="0.25"/>
  <cols>
    <col min="1" max="1" width="6" customWidth="1"/>
    <col min="2" max="7" width="26" customWidth="1"/>
    <col min="8" max="8" width="6" customWidth="1"/>
  </cols>
  <sheetData>
    <row r="1" spans="1:8" ht="25.5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</row>
    <row r="2" spans="1:8" ht="24" customHeight="1" x14ac:dyDescent="0.25">
      <c r="A2" s="10" t="s">
        <v>1</v>
      </c>
      <c r="B2" s="10"/>
      <c r="C2" s="10"/>
      <c r="D2" s="10"/>
      <c r="E2" s="10"/>
      <c r="F2" s="10"/>
      <c r="G2" s="10"/>
      <c r="H2" s="10"/>
    </row>
    <row r="3" spans="1:8" ht="18" customHeight="1" x14ac:dyDescent="0.25">
      <c r="A3" s="9" t="s">
        <v>2</v>
      </c>
      <c r="B3" s="9"/>
      <c r="C3" s="9"/>
      <c r="D3" s="9"/>
      <c r="E3" s="9"/>
      <c r="F3" s="9"/>
      <c r="G3" s="9"/>
      <c r="H3" s="9"/>
    </row>
    <row r="4" spans="1:8" ht="15.75" customHeight="1" x14ac:dyDescent="0.25">
      <c r="A4" s="8" t="s">
        <v>3</v>
      </c>
      <c r="B4" s="8"/>
      <c r="C4" s="8"/>
      <c r="D4" s="8"/>
      <c r="E4" s="8"/>
      <c r="F4" s="8"/>
      <c r="G4" s="8"/>
      <c r="H4" s="8"/>
    </row>
    <row r="6" spans="1:8" ht="16.149999999999999" customHeight="1" x14ac:dyDescent="0.25">
      <c r="B6" s="7" t="s">
        <v>4</v>
      </c>
      <c r="C6" s="7"/>
      <c r="D6" s="7"/>
      <c r="E6" s="7"/>
      <c r="F6" s="7"/>
      <c r="G6" s="7"/>
    </row>
    <row r="7" spans="1:8" ht="18" customHeight="1" x14ac:dyDescent="0.25">
      <c r="B7" s="6" t="s">
        <v>5</v>
      </c>
      <c r="C7" s="6"/>
      <c r="D7" s="6"/>
      <c r="E7" s="6"/>
      <c r="F7" s="6"/>
      <c r="G7" s="6"/>
    </row>
    <row r="8" spans="1:8" ht="18" customHeight="1" x14ac:dyDescent="0.25">
      <c r="B8" s="6"/>
      <c r="C8" s="6"/>
      <c r="D8" s="6"/>
      <c r="E8" s="6"/>
      <c r="F8" s="6"/>
      <c r="G8" s="6"/>
    </row>
    <row r="9" spans="1:8" ht="18" customHeight="1" x14ac:dyDescent="0.25">
      <c r="B9" s="6"/>
      <c r="C9" s="6"/>
      <c r="D9" s="6"/>
      <c r="E9" s="6"/>
      <c r="F9" s="6"/>
      <c r="G9" s="6"/>
    </row>
    <row r="10" spans="1:8" ht="18" customHeight="1" x14ac:dyDescent="0.25">
      <c r="B10" s="6"/>
      <c r="C10" s="6"/>
      <c r="D10" s="6"/>
      <c r="E10" s="6"/>
      <c r="F10" s="6"/>
      <c r="G10" s="6"/>
    </row>
    <row r="11" spans="1:8" ht="18" customHeight="1" x14ac:dyDescent="0.25">
      <c r="B11" s="6"/>
      <c r="C11" s="6"/>
      <c r="D11" s="6"/>
      <c r="E11" s="6"/>
      <c r="F11" s="6"/>
      <c r="G11" s="6"/>
    </row>
    <row r="13" spans="1:8" ht="16.149999999999999" customHeight="1" x14ac:dyDescent="0.25">
      <c r="B13" s="7" t="s">
        <v>6</v>
      </c>
      <c r="C13" s="7"/>
      <c r="D13" s="7"/>
      <c r="E13" s="7"/>
      <c r="F13" s="7"/>
      <c r="G13" s="7"/>
    </row>
    <row r="14" spans="1:8" ht="15" customHeight="1" x14ac:dyDescent="0.25">
      <c r="B14" s="5" t="s">
        <v>7</v>
      </c>
      <c r="C14" s="5"/>
      <c r="D14" s="5"/>
      <c r="E14" s="5"/>
      <c r="F14" s="5"/>
      <c r="G14" s="5"/>
    </row>
    <row r="15" spans="1:8" ht="15" customHeight="1" x14ac:dyDescent="0.25">
      <c r="B15" s="5" t="s">
        <v>8</v>
      </c>
      <c r="C15" s="5"/>
      <c r="D15" s="5"/>
      <c r="E15" s="5"/>
      <c r="F15" s="5"/>
      <c r="G15" s="5"/>
    </row>
    <row r="16" spans="1:8" ht="15" customHeight="1" x14ac:dyDescent="0.25">
      <c r="B16" s="5" t="s">
        <v>9</v>
      </c>
      <c r="C16" s="5"/>
      <c r="D16" s="5"/>
      <c r="E16" s="5"/>
      <c r="F16" s="5"/>
      <c r="G16" s="5"/>
    </row>
    <row r="17" spans="1:7" ht="15" customHeight="1" x14ac:dyDescent="0.25">
      <c r="B17" s="5" t="s">
        <v>10</v>
      </c>
      <c r="C17" s="5"/>
      <c r="D17" s="5"/>
      <c r="E17" s="5"/>
      <c r="F17" s="5"/>
      <c r="G17" s="5"/>
    </row>
    <row r="18" spans="1:7" ht="15" customHeight="1" x14ac:dyDescent="0.25">
      <c r="B18" s="5" t="s">
        <v>11</v>
      </c>
      <c r="C18" s="5"/>
      <c r="D18" s="5"/>
      <c r="E18" s="5"/>
      <c r="F18" s="5"/>
      <c r="G18" s="5"/>
    </row>
    <row r="20" spans="1:7" ht="21.75" customHeight="1" x14ac:dyDescent="0.25">
      <c r="A20" s="4" t="s">
        <v>12</v>
      </c>
      <c r="B20" s="4"/>
      <c r="C20" s="4"/>
      <c r="D20" s="4"/>
      <c r="E20" s="4"/>
      <c r="F20" s="4"/>
      <c r="G20" s="4"/>
    </row>
    <row r="21" spans="1:7" ht="15" customHeight="1" x14ac:dyDescent="0.25">
      <c r="B21" s="3" t="s">
        <v>13</v>
      </c>
      <c r="C21" s="3"/>
      <c r="D21" s="3"/>
      <c r="E21" s="3"/>
      <c r="F21" s="3"/>
      <c r="G21" s="3"/>
    </row>
    <row r="22" spans="1:7" x14ac:dyDescent="0.25">
      <c r="B22" s="3"/>
      <c r="C22" s="3"/>
      <c r="D22" s="3"/>
      <c r="E22" s="3"/>
      <c r="F22" s="3"/>
      <c r="G22" s="3"/>
    </row>
    <row r="23" spans="1:7" x14ac:dyDescent="0.25">
      <c r="B23" s="3"/>
      <c r="C23" s="3"/>
      <c r="D23" s="3"/>
      <c r="E23" s="3"/>
      <c r="F23" s="3"/>
      <c r="G23" s="3"/>
    </row>
    <row r="26" spans="1:7" ht="18" customHeight="1" x14ac:dyDescent="0.25">
      <c r="A26" s="2" t="s">
        <v>14</v>
      </c>
      <c r="B26" s="2"/>
      <c r="C26" s="2"/>
      <c r="D26" s="2"/>
      <c r="E26" s="2"/>
      <c r="F26" s="2"/>
      <c r="G26" s="2"/>
    </row>
  </sheetData>
  <sheetProtection password="BBBC" sheet="1" objects="1" scenarios="1"/>
  <mergeCells count="15">
    <mergeCell ref="B17:G17"/>
    <mergeCell ref="B18:G18"/>
    <mergeCell ref="A20:G20"/>
    <mergeCell ref="B21:G23"/>
    <mergeCell ref="A26:G26"/>
    <mergeCell ref="B7:G11"/>
    <mergeCell ref="B13:G13"/>
    <mergeCell ref="B14:G14"/>
    <mergeCell ref="B15:G15"/>
    <mergeCell ref="B16:G16"/>
    <mergeCell ref="A1:H1"/>
    <mergeCell ref="A2:H2"/>
    <mergeCell ref="A3:H3"/>
    <mergeCell ref="A4:H4"/>
    <mergeCell ref="B6:G6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tabSelected="1" zoomScaleNormal="100" workbookViewId="0">
      <selection activeCell="F10" sqref="F10"/>
    </sheetView>
  </sheetViews>
  <sheetFormatPr defaultColWidth="8.7109375" defaultRowHeight="15" x14ac:dyDescent="0.25"/>
  <cols>
    <col min="1" max="1" width="4" customWidth="1"/>
    <col min="2" max="2" width="36" customWidth="1"/>
    <col min="3" max="3" width="22" customWidth="1"/>
    <col min="4" max="4" width="4" customWidth="1"/>
    <col min="5" max="5" width="36" customWidth="1"/>
    <col min="6" max="6" width="22" customWidth="1"/>
    <col min="7" max="8" width="4" customWidth="1"/>
  </cols>
  <sheetData>
    <row r="1" spans="1:8" ht="25.5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</row>
    <row r="2" spans="1:8" ht="24" customHeight="1" x14ac:dyDescent="0.25">
      <c r="A2" s="10" t="s">
        <v>15</v>
      </c>
      <c r="B2" s="10"/>
      <c r="C2" s="10"/>
      <c r="D2" s="10"/>
      <c r="E2" s="10"/>
      <c r="F2" s="10"/>
      <c r="G2" s="10"/>
      <c r="H2" s="10"/>
    </row>
    <row r="3" spans="1:8" ht="18" customHeight="1" x14ac:dyDescent="0.25">
      <c r="A3" s="9" t="s">
        <v>2</v>
      </c>
      <c r="B3" s="9"/>
      <c r="C3" s="9"/>
      <c r="D3" s="9"/>
      <c r="E3" s="9"/>
      <c r="F3" s="9"/>
      <c r="G3" s="9"/>
      <c r="H3" s="9"/>
    </row>
    <row r="4" spans="1:8" ht="15.75" customHeight="1" x14ac:dyDescent="0.25">
      <c r="A4" s="8" t="s">
        <v>16</v>
      </c>
      <c r="B4" s="8"/>
      <c r="C4" s="8"/>
      <c r="D4" s="8"/>
      <c r="E4" s="8"/>
      <c r="F4" s="8"/>
      <c r="G4" s="8"/>
      <c r="H4" s="8"/>
    </row>
    <row r="6" spans="1:8" ht="21.75" customHeight="1" x14ac:dyDescent="0.25">
      <c r="A6" s="1" t="s">
        <v>17</v>
      </c>
      <c r="B6" s="1"/>
      <c r="C6" s="1"/>
      <c r="D6" s="1"/>
      <c r="E6" s="1"/>
      <c r="F6" s="1"/>
      <c r="G6" s="1"/>
      <c r="H6" s="1"/>
    </row>
    <row r="7" spans="1:8" x14ac:dyDescent="0.25">
      <c r="B7" s="12" t="s">
        <v>18</v>
      </c>
      <c r="C7" s="13">
        <v>5000000</v>
      </c>
      <c r="E7" s="12" t="s">
        <v>19</v>
      </c>
      <c r="F7" s="14">
        <f>C9/12</f>
        <v>20</v>
      </c>
    </row>
    <row r="8" spans="1:8" x14ac:dyDescent="0.25">
      <c r="B8" s="12" t="s">
        <v>20</v>
      </c>
      <c r="C8" s="15">
        <v>8.5</v>
      </c>
      <c r="E8" s="12" t="s">
        <v>21</v>
      </c>
      <c r="F8" s="16">
        <f>C16/C7</f>
        <v>2.0827757600772818</v>
      </c>
    </row>
    <row r="9" spans="1:8" x14ac:dyDescent="0.25">
      <c r="B9" s="12" t="s">
        <v>22</v>
      </c>
      <c r="C9" s="17">
        <v>240</v>
      </c>
      <c r="E9" s="12" t="s">
        <v>23</v>
      </c>
      <c r="F9" s="18">
        <f>C15/C9</f>
        <v>22557.82833494337</v>
      </c>
    </row>
    <row r="10" spans="1:8" x14ac:dyDescent="0.25">
      <c r="B10" s="12" t="s">
        <v>24</v>
      </c>
      <c r="C10" s="19">
        <v>46204</v>
      </c>
      <c r="E10" s="12" t="s">
        <v>25</v>
      </c>
      <c r="F10" s="18">
        <f>C7/C9</f>
        <v>20833.333333333332</v>
      </c>
    </row>
    <row r="11" spans="1:8" x14ac:dyDescent="0.25">
      <c r="B11" s="12" t="s">
        <v>26</v>
      </c>
      <c r="C11" s="20">
        <f>C8/12/100</f>
        <v>7.0833333333333338E-3</v>
      </c>
    </row>
    <row r="13" spans="1:8" ht="21.75" customHeight="1" x14ac:dyDescent="0.25">
      <c r="A13" s="1" t="s">
        <v>27</v>
      </c>
      <c r="B13" s="1"/>
      <c r="C13" s="1"/>
      <c r="D13" s="1"/>
      <c r="E13" s="1"/>
      <c r="F13" s="1"/>
      <c r="G13" s="1"/>
      <c r="H13" s="1"/>
    </row>
    <row r="14" spans="1:8" ht="15.75" x14ac:dyDescent="0.25">
      <c r="B14" s="12" t="s">
        <v>28</v>
      </c>
      <c r="C14" s="21">
        <f>IFERROR(PMT(C11,C9,-C7),0)</f>
        <v>43391.161668276698</v>
      </c>
    </row>
    <row r="15" spans="1:8" ht="15.75" x14ac:dyDescent="0.25">
      <c r="B15" s="12" t="s">
        <v>29</v>
      </c>
      <c r="C15" s="22">
        <f>C14*C9-C7</f>
        <v>5413878.8003864083</v>
      </c>
    </row>
    <row r="16" spans="1:8" ht="15.75" x14ac:dyDescent="0.25">
      <c r="B16" s="12" t="s">
        <v>30</v>
      </c>
      <c r="C16" s="22">
        <f>C14*C9</f>
        <v>10413878.800386408</v>
      </c>
    </row>
    <row r="17" spans="1:8" x14ac:dyDescent="0.25">
      <c r="B17" s="12" t="s">
        <v>31</v>
      </c>
      <c r="C17" s="23">
        <f>C15/C7</f>
        <v>1.0827757600772816</v>
      </c>
    </row>
    <row r="18" spans="1:8" x14ac:dyDescent="0.25">
      <c r="B18" s="12" t="s">
        <v>32</v>
      </c>
      <c r="C18" s="24">
        <f>EDATE(C10,C9-1)</f>
        <v>53479</v>
      </c>
    </row>
    <row r="22" spans="1:8" ht="18" customHeight="1" x14ac:dyDescent="0.25">
      <c r="A22" s="2" t="s">
        <v>14</v>
      </c>
      <c r="B22" s="2"/>
      <c r="C22" s="2"/>
      <c r="D22" s="2"/>
      <c r="E22" s="2"/>
      <c r="F22" s="2"/>
      <c r="G22" s="2"/>
      <c r="H22" s="2"/>
    </row>
  </sheetData>
  <sheetProtection password="BBBC" sheet="1" objects="1" scenarios="1"/>
  <mergeCells count="7">
    <mergeCell ref="A13:H13"/>
    <mergeCell ref="A22:H22"/>
    <mergeCell ref="A1:H1"/>
    <mergeCell ref="A2:H2"/>
    <mergeCell ref="A3:H3"/>
    <mergeCell ref="A4:H4"/>
    <mergeCell ref="A6:H6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69"/>
  <sheetViews>
    <sheetView zoomScaleNormal="100" workbookViewId="0">
      <pane xSplit="1" ySplit="6" topLeftCell="B118" activePane="bottomRight" state="frozen"/>
      <selection pane="topRight" activeCell="B1" sqref="B1"/>
      <selection pane="bottomLeft" activeCell="A7" sqref="A7"/>
      <selection pane="bottomRight" sqref="A1:H1"/>
    </sheetView>
  </sheetViews>
  <sheetFormatPr defaultColWidth="8.7109375" defaultRowHeight="15" x14ac:dyDescent="0.25"/>
  <cols>
    <col min="1" max="1" width="6" customWidth="1"/>
    <col min="2" max="2" width="10" customWidth="1"/>
    <col min="3" max="3" width="14" customWidth="1"/>
    <col min="4" max="6" width="16" customWidth="1"/>
    <col min="7" max="7" width="18" customWidth="1"/>
    <col min="8" max="8" width="6" customWidth="1"/>
  </cols>
  <sheetData>
    <row r="1" spans="1:8" ht="25.5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</row>
    <row r="2" spans="1:8" ht="24" customHeight="1" x14ac:dyDescent="0.25">
      <c r="A2" s="10" t="s">
        <v>33</v>
      </c>
      <c r="B2" s="10"/>
      <c r="C2" s="10"/>
      <c r="D2" s="10"/>
      <c r="E2" s="10"/>
      <c r="F2" s="10"/>
      <c r="G2" s="10"/>
      <c r="H2" s="10"/>
    </row>
    <row r="3" spans="1:8" ht="18" customHeight="1" x14ac:dyDescent="0.25">
      <c r="A3" s="9" t="s">
        <v>2</v>
      </c>
      <c r="B3" s="9"/>
      <c r="C3" s="9"/>
      <c r="D3" s="9"/>
      <c r="E3" s="9"/>
      <c r="F3" s="9"/>
      <c r="G3" s="9"/>
      <c r="H3" s="9"/>
    </row>
    <row r="4" spans="1:8" ht="15.75" customHeight="1" x14ac:dyDescent="0.25">
      <c r="A4" s="8" t="s">
        <v>34</v>
      </c>
      <c r="B4" s="8"/>
      <c r="C4" s="8"/>
      <c r="D4" s="8"/>
      <c r="E4" s="8"/>
      <c r="F4" s="8"/>
      <c r="G4" s="8"/>
      <c r="H4" s="8"/>
    </row>
    <row r="6" spans="1:8" ht="21.75" customHeight="1" x14ac:dyDescent="0.25">
      <c r="B6" s="25" t="s">
        <v>35</v>
      </c>
      <c r="C6" s="25" t="s">
        <v>36</v>
      </c>
      <c r="D6" s="25" t="s">
        <v>37</v>
      </c>
      <c r="E6" s="25" t="s">
        <v>38</v>
      </c>
      <c r="F6" s="25" t="s">
        <v>39</v>
      </c>
      <c r="G6" s="25" t="s">
        <v>40</v>
      </c>
    </row>
    <row r="7" spans="1:8" x14ac:dyDescent="0.25">
      <c r="B7" s="26">
        <f>IF(1&lt;=Calculator!C9,1,"")</f>
        <v>1</v>
      </c>
      <c r="C7" s="27">
        <f>IF(1&lt;=Calculator!C9,EDATE(Calculator!C10,1-1),"")</f>
        <v>46204</v>
      </c>
      <c r="D7" s="28">
        <f>IF(1&lt;=Calculator!C9,Calculator!C14,"")</f>
        <v>43391.161668276698</v>
      </c>
      <c r="E7" s="28">
        <f>IF(1&lt;=Calculator!C9,Calculator!C7*Calculator!C11,"")</f>
        <v>35416.666666666672</v>
      </c>
      <c r="F7" s="28">
        <f>IF(1&lt;=Calculator!C9,D7-E7,"")</f>
        <v>7974.4950016100265</v>
      </c>
      <c r="G7" s="28">
        <f>IF(1&lt;=Calculator!C9,Calculator!C7-F7,"")</f>
        <v>4992025.5049983896</v>
      </c>
    </row>
    <row r="8" spans="1:8" x14ac:dyDescent="0.25">
      <c r="B8" s="29">
        <f>IF(2&lt;=Calculator!C9,2,"")</f>
        <v>2</v>
      </c>
      <c r="C8" s="30">
        <f>IF(2&lt;=Calculator!C9,EDATE(Calculator!C10,2-1),"")</f>
        <v>46235</v>
      </c>
      <c r="D8" s="31">
        <f>IF(2&lt;=Calculator!C9,Calculator!C14,"")</f>
        <v>43391.161668276698</v>
      </c>
      <c r="E8" s="31">
        <f>IF(2&lt;=Calculator!C9,G7*Calculator!C11,"")</f>
        <v>35360.180660405262</v>
      </c>
      <c r="F8" s="31">
        <f>IF(2&lt;=Calculator!C9,D8-E8,"")</f>
        <v>8030.9810078714363</v>
      </c>
      <c r="G8" s="31">
        <f>IF(2&lt;=Calculator!C9,G7-F8,"")</f>
        <v>4983994.5239905184</v>
      </c>
    </row>
    <row r="9" spans="1:8" x14ac:dyDescent="0.25">
      <c r="B9" s="26">
        <f>IF(3&lt;=Calculator!C9,3,"")</f>
        <v>3</v>
      </c>
      <c r="C9" s="27">
        <f>IF(3&lt;=Calculator!C9,EDATE(Calculator!C10,3-1),"")</f>
        <v>46266</v>
      </c>
      <c r="D9" s="28">
        <f>IF(3&lt;=Calculator!C9,Calculator!C14,"")</f>
        <v>43391.161668276698</v>
      </c>
      <c r="E9" s="28">
        <f>IF(3&lt;=Calculator!C9,G8*Calculator!C11,"")</f>
        <v>35303.29454493284</v>
      </c>
      <c r="F9" s="28">
        <f>IF(3&lt;=Calculator!C9,D9-E9,"")</f>
        <v>8087.8671233438581</v>
      </c>
      <c r="G9" s="28">
        <f>IF(3&lt;=Calculator!C9,G8-F9,"")</f>
        <v>4975906.6568671744</v>
      </c>
    </row>
    <row r="10" spans="1:8" x14ac:dyDescent="0.25">
      <c r="B10" s="29">
        <f>IF(4&lt;=Calculator!C9,4,"")</f>
        <v>4</v>
      </c>
      <c r="C10" s="30">
        <f>IF(4&lt;=Calculator!C9,EDATE(Calculator!C10,4-1),"")</f>
        <v>46296</v>
      </c>
      <c r="D10" s="31">
        <f>IF(4&lt;=Calculator!C9,Calculator!C14,"")</f>
        <v>43391.161668276698</v>
      </c>
      <c r="E10" s="31">
        <f>IF(4&lt;=Calculator!C9,G9*Calculator!C11,"")</f>
        <v>35246.005486142487</v>
      </c>
      <c r="F10" s="31">
        <f>IF(4&lt;=Calculator!C9,D10-E10,"")</f>
        <v>8145.1561821342111</v>
      </c>
      <c r="G10" s="31">
        <f>IF(4&lt;=Calculator!C9,G9-F10,"")</f>
        <v>4967761.5006850399</v>
      </c>
    </row>
    <row r="11" spans="1:8" x14ac:dyDescent="0.25">
      <c r="B11" s="26">
        <f>IF(5&lt;=Calculator!C9,5,"")</f>
        <v>5</v>
      </c>
      <c r="C11" s="27">
        <f>IF(5&lt;=Calculator!C9,EDATE(Calculator!C10,5-1),"")</f>
        <v>46327</v>
      </c>
      <c r="D11" s="28">
        <f>IF(5&lt;=Calculator!C9,Calculator!C14,"")</f>
        <v>43391.161668276698</v>
      </c>
      <c r="E11" s="28">
        <f>IF(5&lt;=Calculator!C9,G10*Calculator!C11,"")</f>
        <v>35188.310629852371</v>
      </c>
      <c r="F11" s="28">
        <f>IF(5&lt;=Calculator!C9,D11-E11,"")</f>
        <v>8202.8510384243273</v>
      </c>
      <c r="G11" s="28">
        <f>IF(5&lt;=Calculator!C9,G10-F11,"")</f>
        <v>4959558.6496466156</v>
      </c>
    </row>
    <row r="12" spans="1:8" x14ac:dyDescent="0.25">
      <c r="B12" s="29">
        <f>IF(6&lt;=Calculator!C9,6,"")</f>
        <v>6</v>
      </c>
      <c r="C12" s="30">
        <f>IF(6&lt;=Calculator!C9,EDATE(Calculator!C10,6-1),"")</f>
        <v>46357</v>
      </c>
      <c r="D12" s="31">
        <f>IF(6&lt;=Calculator!C9,Calculator!C14,"")</f>
        <v>43391.161668276698</v>
      </c>
      <c r="E12" s="31">
        <f>IF(6&lt;=Calculator!C9,G11*Calculator!C11,"")</f>
        <v>35130.207101663531</v>
      </c>
      <c r="F12" s="31">
        <f>IF(6&lt;=Calculator!C9,D12-E12,"")</f>
        <v>8260.9545666131671</v>
      </c>
      <c r="G12" s="31">
        <f>IF(6&lt;=Calculator!C9,G11-F12,"")</f>
        <v>4951297.6950800028</v>
      </c>
    </row>
    <row r="13" spans="1:8" x14ac:dyDescent="0.25">
      <c r="B13" s="26">
        <f>IF(7&lt;=Calculator!C9,7,"")</f>
        <v>7</v>
      </c>
      <c r="C13" s="27">
        <f>IF(7&lt;=Calculator!C9,EDATE(Calculator!C10,7-1),"")</f>
        <v>46388</v>
      </c>
      <c r="D13" s="28">
        <f>IF(7&lt;=Calculator!C9,Calculator!C14,"")</f>
        <v>43391.161668276698</v>
      </c>
      <c r="E13" s="28">
        <f>IF(7&lt;=Calculator!C9,G12*Calculator!C11,"")</f>
        <v>35071.692006816687</v>
      </c>
      <c r="F13" s="28">
        <f>IF(7&lt;=Calculator!C9,D13-E13,"")</f>
        <v>8319.4696614600107</v>
      </c>
      <c r="G13" s="28">
        <f>IF(7&lt;=Calculator!C9,G12-F13,"")</f>
        <v>4942978.2254185425</v>
      </c>
    </row>
    <row r="14" spans="1:8" x14ac:dyDescent="0.25">
      <c r="B14" s="29">
        <f>IF(8&lt;=Calculator!C9,8,"")</f>
        <v>8</v>
      </c>
      <c r="C14" s="30">
        <f>IF(8&lt;=Calculator!C9,EDATE(Calculator!C10,8-1),"")</f>
        <v>46419</v>
      </c>
      <c r="D14" s="31">
        <f>IF(8&lt;=Calculator!C9,Calculator!C14,"")</f>
        <v>43391.161668276698</v>
      </c>
      <c r="E14" s="31">
        <f>IF(8&lt;=Calculator!C9,G13*Calculator!C11,"")</f>
        <v>35012.762430048009</v>
      </c>
      <c r="F14" s="31">
        <f>IF(8&lt;=Calculator!C9,D14-E14,"")</f>
        <v>8378.3992382286888</v>
      </c>
      <c r="G14" s="31">
        <f>IF(8&lt;=Calculator!C9,G13-F14,"")</f>
        <v>4934599.8261803137</v>
      </c>
    </row>
    <row r="15" spans="1:8" x14ac:dyDescent="0.25">
      <c r="B15" s="26">
        <f>IF(9&lt;=Calculator!C9,9,"")</f>
        <v>9</v>
      </c>
      <c r="C15" s="27">
        <f>IF(9&lt;=Calculator!C9,EDATE(Calculator!C10,9-1),"")</f>
        <v>46447</v>
      </c>
      <c r="D15" s="28">
        <f>IF(9&lt;=Calculator!C9,Calculator!C14,"")</f>
        <v>43391.161668276698</v>
      </c>
      <c r="E15" s="28">
        <f>IF(9&lt;=Calculator!C9,G14*Calculator!C11,"")</f>
        <v>34953.415435443894</v>
      </c>
      <c r="F15" s="28">
        <f>IF(9&lt;=Calculator!C9,D15-E15,"")</f>
        <v>8437.7462328328038</v>
      </c>
      <c r="G15" s="28">
        <f>IF(9&lt;=Calculator!C9,G14-F15,"")</f>
        <v>4926162.0799474809</v>
      </c>
    </row>
    <row r="16" spans="1:8" x14ac:dyDescent="0.25">
      <c r="B16" s="29">
        <f>IF(10&lt;=Calculator!C9,10,"")</f>
        <v>10</v>
      </c>
      <c r="C16" s="30">
        <f>IF(10&lt;=Calculator!C9,EDATE(Calculator!C10,10-1),"")</f>
        <v>46478</v>
      </c>
      <c r="D16" s="31">
        <f>IF(10&lt;=Calculator!C9,Calculator!C14,"")</f>
        <v>43391.161668276698</v>
      </c>
      <c r="E16" s="31">
        <f>IF(10&lt;=Calculator!C9,G15*Calculator!C11,"")</f>
        <v>34893.648066294656</v>
      </c>
      <c r="F16" s="31">
        <f>IF(10&lt;=Calculator!C9,D16-E16,"")</f>
        <v>8497.513601982042</v>
      </c>
      <c r="G16" s="31">
        <f>IF(10&lt;=Calculator!C9,G15-F16,"")</f>
        <v>4917664.5663454989</v>
      </c>
    </row>
    <row r="17" spans="2:7" x14ac:dyDescent="0.25">
      <c r="B17" s="26">
        <f>IF(11&lt;=Calculator!C9,11,"")</f>
        <v>11</v>
      </c>
      <c r="C17" s="27">
        <f>IF(11&lt;=Calculator!C9,EDATE(Calculator!C10,11-1),"")</f>
        <v>46508</v>
      </c>
      <c r="D17" s="28">
        <f>IF(11&lt;=Calculator!C9,Calculator!C14,"")</f>
        <v>43391.161668276698</v>
      </c>
      <c r="E17" s="28">
        <f>IF(11&lt;=Calculator!C9,G16*Calculator!C11,"")</f>
        <v>34833.457344947288</v>
      </c>
      <c r="F17" s="28">
        <f>IF(11&lt;=Calculator!C9,D17-E17,"")</f>
        <v>8557.7043233294098</v>
      </c>
      <c r="G17" s="28">
        <f>IF(11&lt;=Calculator!C9,G16-F17,"")</f>
        <v>4909106.8620221699</v>
      </c>
    </row>
    <row r="18" spans="2:7" x14ac:dyDescent="0.25">
      <c r="B18" s="29">
        <f>IF(12&lt;=Calculator!C9,12,"")</f>
        <v>12</v>
      </c>
      <c r="C18" s="30">
        <f>IF(12&lt;=Calculator!C9,EDATE(Calculator!C10,12-1),"")</f>
        <v>46539</v>
      </c>
      <c r="D18" s="31">
        <f>IF(12&lt;=Calculator!C9,Calculator!C14,"")</f>
        <v>43391.161668276698</v>
      </c>
      <c r="E18" s="31">
        <f>IF(12&lt;=Calculator!C9,G17*Calculator!C11,"")</f>
        <v>34772.840272657042</v>
      </c>
      <c r="F18" s="31">
        <f>IF(12&lt;=Calculator!C9,D18-E18,"")</f>
        <v>8618.321395619656</v>
      </c>
      <c r="G18" s="31">
        <f>IF(12&lt;=Calculator!C9,G17-F18,"")</f>
        <v>4900488.5406265501</v>
      </c>
    </row>
    <row r="19" spans="2:7" x14ac:dyDescent="0.25">
      <c r="B19" s="26">
        <f>IF(13&lt;=Calculator!C9,13,"")</f>
        <v>13</v>
      </c>
      <c r="C19" s="27">
        <f>IF(13&lt;=Calculator!C9,EDATE(Calculator!C10,13-1),"")</f>
        <v>46569</v>
      </c>
      <c r="D19" s="28">
        <f>IF(13&lt;=Calculator!C9,Calculator!C14,"")</f>
        <v>43391.161668276698</v>
      </c>
      <c r="E19" s="28">
        <f>IF(13&lt;=Calculator!C9,G18*Calculator!C11,"")</f>
        <v>34711.793829438066</v>
      </c>
      <c r="F19" s="28">
        <f>IF(13&lt;=Calculator!C9,D19-E19,"")</f>
        <v>8679.3678388386325</v>
      </c>
      <c r="G19" s="28">
        <f>IF(13&lt;=Calculator!C9,G18-F19,"")</f>
        <v>4891809.172787711</v>
      </c>
    </row>
    <row r="20" spans="2:7" x14ac:dyDescent="0.25">
      <c r="B20" s="29">
        <f>IF(14&lt;=Calculator!C9,14,"")</f>
        <v>14</v>
      </c>
      <c r="C20" s="30">
        <f>IF(14&lt;=Calculator!C9,EDATE(Calculator!C10,14-1),"")</f>
        <v>46600</v>
      </c>
      <c r="D20" s="31">
        <f>IF(14&lt;=Calculator!C9,Calculator!C14,"")</f>
        <v>43391.161668276698</v>
      </c>
      <c r="E20" s="31">
        <f>IF(14&lt;=Calculator!C9,G19*Calculator!C11,"")</f>
        <v>34650.314973912959</v>
      </c>
      <c r="F20" s="31">
        <f>IF(14&lt;=Calculator!C9,D20-E20,"")</f>
        <v>8740.8466943637395</v>
      </c>
      <c r="G20" s="31">
        <f>IF(14&lt;=Calculator!C9,G19-F20,"")</f>
        <v>4883068.3260933477</v>
      </c>
    </row>
    <row r="21" spans="2:7" x14ac:dyDescent="0.25">
      <c r="B21" s="26">
        <f>IF(15&lt;=Calculator!C9,15,"")</f>
        <v>15</v>
      </c>
      <c r="C21" s="27">
        <f>IF(15&lt;=Calculator!C9,EDATE(Calculator!C10,15-1),"")</f>
        <v>46631</v>
      </c>
      <c r="D21" s="28">
        <f>IF(15&lt;=Calculator!C9,Calculator!C14,"")</f>
        <v>43391.161668276698</v>
      </c>
      <c r="E21" s="28">
        <f>IF(15&lt;=Calculator!C9,G20*Calculator!C11,"")</f>
        <v>34588.400643161214</v>
      </c>
      <c r="F21" s="28">
        <f>IF(15&lt;=Calculator!C9,D21-E21,"")</f>
        <v>8802.7610251154838</v>
      </c>
      <c r="G21" s="28">
        <f>IF(15&lt;=Calculator!C9,G20-F21,"")</f>
        <v>4874265.5650682319</v>
      </c>
    </row>
    <row r="22" spans="2:7" x14ac:dyDescent="0.25">
      <c r="B22" s="29">
        <f>IF(16&lt;=Calculator!C9,16,"")</f>
        <v>16</v>
      </c>
      <c r="C22" s="30">
        <f>IF(16&lt;=Calculator!C9,EDATE(Calculator!C10,16-1),"")</f>
        <v>46661</v>
      </c>
      <c r="D22" s="31">
        <f>IF(16&lt;=Calculator!C9,Calculator!C14,"")</f>
        <v>43391.161668276698</v>
      </c>
      <c r="E22" s="31">
        <f>IF(16&lt;=Calculator!C9,G21*Calculator!C11,"")</f>
        <v>34526.047752566643</v>
      </c>
      <c r="F22" s="31">
        <f>IF(16&lt;=Calculator!C9,D22-E22,"")</f>
        <v>8865.1139157100552</v>
      </c>
      <c r="G22" s="31">
        <f>IF(16&lt;=Calculator!C9,G21-F22,"")</f>
        <v>4865400.4511525221</v>
      </c>
    </row>
    <row r="23" spans="2:7" x14ac:dyDescent="0.25">
      <c r="B23" s="26">
        <f>IF(17&lt;=Calculator!C9,17,"")</f>
        <v>17</v>
      </c>
      <c r="C23" s="27">
        <f>IF(17&lt;=Calculator!C9,EDATE(Calculator!C10,17-1),"")</f>
        <v>46692</v>
      </c>
      <c r="D23" s="28">
        <f>IF(17&lt;=Calculator!C9,Calculator!C14,"")</f>
        <v>43391.161668276698</v>
      </c>
      <c r="E23" s="28">
        <f>IF(17&lt;=Calculator!C9,G22*Calculator!C11,"")</f>
        <v>34463.253195663703</v>
      </c>
      <c r="F23" s="28">
        <f>IF(17&lt;=Calculator!C9,D23-E23,"")</f>
        <v>8927.908472612995</v>
      </c>
      <c r="G23" s="28">
        <f>IF(17&lt;=Calculator!C9,G22-F23,"")</f>
        <v>4856472.5426799087</v>
      </c>
    </row>
    <row r="24" spans="2:7" x14ac:dyDescent="0.25">
      <c r="B24" s="29">
        <f>IF(18&lt;=Calculator!C9,18,"")</f>
        <v>18</v>
      </c>
      <c r="C24" s="30">
        <f>IF(18&lt;=Calculator!C9,EDATE(Calculator!C10,18-1),"")</f>
        <v>46722</v>
      </c>
      <c r="D24" s="31">
        <f>IF(18&lt;=Calculator!C9,Calculator!C14,"")</f>
        <v>43391.161668276698</v>
      </c>
      <c r="E24" s="31">
        <f>IF(18&lt;=Calculator!C9,G23*Calculator!C11,"")</f>
        <v>34400.013843982691</v>
      </c>
      <c r="F24" s="31">
        <f>IF(18&lt;=Calculator!C9,D24-E24,"")</f>
        <v>8991.1478242940066</v>
      </c>
      <c r="G24" s="31">
        <f>IF(18&lt;=Calculator!C9,G23-F24,"")</f>
        <v>4847481.3948556148</v>
      </c>
    </row>
    <row r="25" spans="2:7" x14ac:dyDescent="0.25">
      <c r="B25" s="26">
        <f>IF(19&lt;=Calculator!C9,19,"")</f>
        <v>19</v>
      </c>
      <c r="C25" s="27">
        <f>IF(19&lt;=Calculator!C9,EDATE(Calculator!C10,19-1),"")</f>
        <v>46753</v>
      </c>
      <c r="D25" s="28">
        <f>IF(19&lt;=Calculator!C9,Calculator!C14,"")</f>
        <v>43391.161668276698</v>
      </c>
      <c r="E25" s="28">
        <f>IF(19&lt;=Calculator!C9,G24*Calculator!C11,"")</f>
        <v>34336.326546893943</v>
      </c>
      <c r="F25" s="28">
        <f>IF(19&lt;=Calculator!C9,D25-E25,"")</f>
        <v>9054.8351213827555</v>
      </c>
      <c r="G25" s="28">
        <f>IF(19&lt;=Calculator!C9,G24-F25,"")</f>
        <v>4838426.5597342318</v>
      </c>
    </row>
    <row r="26" spans="2:7" x14ac:dyDescent="0.25">
      <c r="B26" s="29">
        <f>IF(20&lt;=Calculator!C9,20,"")</f>
        <v>20</v>
      </c>
      <c r="C26" s="30">
        <f>IF(20&lt;=Calculator!C9,EDATE(Calculator!C10,20-1),"")</f>
        <v>46784</v>
      </c>
      <c r="D26" s="31">
        <f>IF(20&lt;=Calculator!C9,Calculator!C14,"")</f>
        <v>43391.161668276698</v>
      </c>
      <c r="E26" s="31">
        <f>IF(20&lt;=Calculator!C9,G25*Calculator!C11,"")</f>
        <v>34272.188131450814</v>
      </c>
      <c r="F26" s="31">
        <f>IF(20&lt;=Calculator!C9,D26-E26,"")</f>
        <v>9118.9735368258844</v>
      </c>
      <c r="G26" s="31">
        <f>IF(20&lt;=Calculator!C9,G25-F26,"")</f>
        <v>4829307.5861974061</v>
      </c>
    </row>
    <row r="27" spans="2:7" x14ac:dyDescent="0.25">
      <c r="B27" s="26">
        <f>IF(21&lt;=Calculator!C9,21,"")</f>
        <v>21</v>
      </c>
      <c r="C27" s="27">
        <f>IF(21&lt;=Calculator!C9,EDATE(Calculator!C10,21-1),"")</f>
        <v>46813</v>
      </c>
      <c r="D27" s="28">
        <f>IF(21&lt;=Calculator!C9,Calculator!C14,"")</f>
        <v>43391.161668276698</v>
      </c>
      <c r="E27" s="28">
        <f>IF(21&lt;=Calculator!C9,G26*Calculator!C11,"")</f>
        <v>34207.595402231629</v>
      </c>
      <c r="F27" s="28">
        <f>IF(21&lt;=Calculator!C9,D27-E27,"")</f>
        <v>9183.5662660450689</v>
      </c>
      <c r="G27" s="28">
        <f>IF(21&lt;=Calculator!C9,G26-F27,"")</f>
        <v>4820124.0199313611</v>
      </c>
    </row>
    <row r="28" spans="2:7" x14ac:dyDescent="0.25">
      <c r="B28" s="29">
        <f>IF(22&lt;=Calculator!C9,22,"")</f>
        <v>22</v>
      </c>
      <c r="C28" s="30">
        <f>IF(22&lt;=Calculator!C9,EDATE(Calculator!C10,22-1),"")</f>
        <v>46844</v>
      </c>
      <c r="D28" s="31">
        <f>IF(22&lt;=Calculator!C9,Calculator!C14,"")</f>
        <v>43391.161668276698</v>
      </c>
      <c r="E28" s="31">
        <f>IF(22&lt;=Calculator!C9,G27*Calculator!C11,"")</f>
        <v>34142.545141180475</v>
      </c>
      <c r="F28" s="31">
        <f>IF(22&lt;=Calculator!C9,D28-E28,"")</f>
        <v>9248.6165270962229</v>
      </c>
      <c r="G28" s="31">
        <f>IF(22&lt;=Calculator!C9,G27-F28,"")</f>
        <v>4810875.4034042647</v>
      </c>
    </row>
    <row r="29" spans="2:7" x14ac:dyDescent="0.25">
      <c r="B29" s="26">
        <f>IF(23&lt;=Calculator!C9,23,"")</f>
        <v>23</v>
      </c>
      <c r="C29" s="27">
        <f>IF(23&lt;=Calculator!C9,EDATE(Calculator!C10,23-1),"")</f>
        <v>46874</v>
      </c>
      <c r="D29" s="28">
        <f>IF(23&lt;=Calculator!C9,Calculator!C14,"")</f>
        <v>43391.161668276698</v>
      </c>
      <c r="E29" s="28">
        <f>IF(23&lt;=Calculator!C9,G28*Calculator!C11,"")</f>
        <v>34077.034107446874</v>
      </c>
      <c r="F29" s="28">
        <f>IF(23&lt;=Calculator!C9,D29-E29,"")</f>
        <v>9314.1275608298238</v>
      </c>
      <c r="G29" s="28">
        <f>IF(23&lt;=Calculator!C9,G28-F29,"")</f>
        <v>4801561.275843435</v>
      </c>
    </row>
    <row r="30" spans="2:7" x14ac:dyDescent="0.25">
      <c r="B30" s="29">
        <f>IF(24&lt;=Calculator!C9,24,"")</f>
        <v>24</v>
      </c>
      <c r="C30" s="30">
        <f>IF(24&lt;=Calculator!C9,EDATE(Calculator!C10,24-1),"")</f>
        <v>46905</v>
      </c>
      <c r="D30" s="31">
        <f>IF(24&lt;=Calculator!C9,Calculator!C14,"")</f>
        <v>43391.161668276698</v>
      </c>
      <c r="E30" s="31">
        <f>IF(24&lt;=Calculator!C9,G29*Calculator!C11,"")</f>
        <v>34011.059037224331</v>
      </c>
      <c r="F30" s="31">
        <f>IF(24&lt;=Calculator!C9,D30-E30,"")</f>
        <v>9380.1026310523666</v>
      </c>
      <c r="G30" s="31">
        <f>IF(24&lt;=Calculator!C9,G29-F30,"")</f>
        <v>4792181.1732123829</v>
      </c>
    </row>
    <row r="31" spans="2:7" x14ac:dyDescent="0.25">
      <c r="B31" s="26">
        <f>IF(25&lt;=Calculator!C9,25,"")</f>
        <v>25</v>
      </c>
      <c r="C31" s="27">
        <f>IF(25&lt;=Calculator!C9,EDATE(Calculator!C10,25-1),"")</f>
        <v>46935</v>
      </c>
      <c r="D31" s="28">
        <f>IF(25&lt;=Calculator!C9,Calculator!C14,"")</f>
        <v>43391.161668276698</v>
      </c>
      <c r="E31" s="28">
        <f>IF(25&lt;=Calculator!C9,G30*Calculator!C11,"")</f>
        <v>33944.616643587717</v>
      </c>
      <c r="F31" s="28">
        <f>IF(25&lt;=Calculator!C9,D31-E31,"")</f>
        <v>9446.5450246889814</v>
      </c>
      <c r="G31" s="28">
        <f>IF(25&lt;=Calculator!C9,G30-F31,"")</f>
        <v>4782734.6281876937</v>
      </c>
    </row>
    <row r="32" spans="2:7" x14ac:dyDescent="0.25">
      <c r="B32" s="29">
        <f>IF(26&lt;=Calculator!C9,26,"")</f>
        <v>26</v>
      </c>
      <c r="C32" s="30">
        <f>IF(26&lt;=Calculator!C9,EDATE(Calculator!C10,26-1),"")</f>
        <v>46966</v>
      </c>
      <c r="D32" s="31">
        <f>IF(26&lt;=Calculator!C9,Calculator!C14,"")</f>
        <v>43391.161668276698</v>
      </c>
      <c r="E32" s="31">
        <f>IF(26&lt;=Calculator!C9,G31*Calculator!C11,"")</f>
        <v>33877.703616329498</v>
      </c>
      <c r="F32" s="31">
        <f>IF(26&lt;=Calculator!C9,D32-E32,"")</f>
        <v>9513.4580519472001</v>
      </c>
      <c r="G32" s="31">
        <f>IF(26&lt;=Calculator!C9,G31-F32,"")</f>
        <v>4773221.1701357467</v>
      </c>
    </row>
    <row r="33" spans="2:7" x14ac:dyDescent="0.25">
      <c r="B33" s="26">
        <f>IF(27&lt;=Calculator!C9,27,"")</f>
        <v>27</v>
      </c>
      <c r="C33" s="27">
        <f>IF(27&lt;=Calculator!C9,EDATE(Calculator!C10,27-1),"")</f>
        <v>46997</v>
      </c>
      <c r="D33" s="28">
        <f>IF(27&lt;=Calculator!C9,Calculator!C14,"")</f>
        <v>43391.161668276698</v>
      </c>
      <c r="E33" s="28">
        <f>IF(27&lt;=Calculator!C9,G32*Calculator!C11,"")</f>
        <v>33810.316621794875</v>
      </c>
      <c r="F33" s="28">
        <f>IF(27&lt;=Calculator!C9,D33-E33,"")</f>
        <v>9580.8450464818234</v>
      </c>
      <c r="G33" s="28">
        <f>IF(27&lt;=Calculator!C9,G32-F33,"")</f>
        <v>4763640.3250892647</v>
      </c>
    </row>
    <row r="34" spans="2:7" x14ac:dyDescent="0.25">
      <c r="B34" s="29">
        <f>IF(28&lt;=Calculator!C9,28,"")</f>
        <v>28</v>
      </c>
      <c r="C34" s="30">
        <f>IF(28&lt;=Calculator!C9,EDATE(Calculator!C10,28-1),"")</f>
        <v>47027</v>
      </c>
      <c r="D34" s="31">
        <f>IF(28&lt;=Calculator!C9,Calculator!C14,"")</f>
        <v>43391.161668276698</v>
      </c>
      <c r="E34" s="31">
        <f>IF(28&lt;=Calculator!C9,G33*Calculator!C11,"")</f>
        <v>33742.452302715625</v>
      </c>
      <c r="F34" s="31">
        <f>IF(28&lt;=Calculator!C9,D34-E34,"")</f>
        <v>9648.7093655610734</v>
      </c>
      <c r="G34" s="31">
        <f>IF(28&lt;=Calculator!C9,G33-F34,"")</f>
        <v>4753991.615723704</v>
      </c>
    </row>
    <row r="35" spans="2:7" x14ac:dyDescent="0.25">
      <c r="B35" s="26">
        <f>IF(29&lt;=Calculator!C9,29,"")</f>
        <v>29</v>
      </c>
      <c r="C35" s="27">
        <f>IF(29&lt;=Calculator!C9,EDATE(Calculator!C10,29-1),"")</f>
        <v>47058</v>
      </c>
      <c r="D35" s="28">
        <f>IF(29&lt;=Calculator!C9,Calculator!C14,"")</f>
        <v>43391.161668276698</v>
      </c>
      <c r="E35" s="28">
        <f>IF(29&lt;=Calculator!C9,G34*Calculator!C11,"")</f>
        <v>33674.107278042902</v>
      </c>
      <c r="F35" s="28">
        <f>IF(29&lt;=Calculator!C9,D35-E35,"")</f>
        <v>9717.0543902337959</v>
      </c>
      <c r="G35" s="28">
        <f>IF(29&lt;=Calculator!C9,G34-F35,"")</f>
        <v>4744274.56133347</v>
      </c>
    </row>
    <row r="36" spans="2:7" x14ac:dyDescent="0.25">
      <c r="B36" s="29">
        <f>IF(30&lt;=Calculator!C9,30,"")</f>
        <v>30</v>
      </c>
      <c r="C36" s="30">
        <f>IF(30&lt;=Calculator!C9,EDATE(Calculator!C10,30-1),"")</f>
        <v>47088</v>
      </c>
      <c r="D36" s="31">
        <f>IF(30&lt;=Calculator!C9,Calculator!C14,"")</f>
        <v>43391.161668276698</v>
      </c>
      <c r="E36" s="31">
        <f>IF(30&lt;=Calculator!C9,G35*Calculator!C11,"")</f>
        <v>33605.278142778749</v>
      </c>
      <c r="F36" s="31">
        <f>IF(30&lt;=Calculator!C9,D36-E36,"")</f>
        <v>9785.8835254979494</v>
      </c>
      <c r="G36" s="31">
        <f>IF(30&lt;=Calculator!C9,G35-F36,"")</f>
        <v>4734488.6778079718</v>
      </c>
    </row>
    <row r="37" spans="2:7" x14ac:dyDescent="0.25">
      <c r="B37" s="26">
        <f>IF(31&lt;=Calculator!C9,31,"")</f>
        <v>31</v>
      </c>
      <c r="C37" s="27">
        <f>IF(31&lt;=Calculator!C9,EDATE(Calculator!C10,31-1),"")</f>
        <v>47119</v>
      </c>
      <c r="D37" s="28">
        <f>IF(31&lt;=Calculator!C9,Calculator!C14,"")</f>
        <v>43391.161668276698</v>
      </c>
      <c r="E37" s="28">
        <f>IF(31&lt;=Calculator!C9,G36*Calculator!C11,"")</f>
        <v>33535.961467806468</v>
      </c>
      <c r="F37" s="28">
        <f>IF(31&lt;=Calculator!C9,D37-E37,"")</f>
        <v>9855.2002004702299</v>
      </c>
      <c r="G37" s="28">
        <f>IF(31&lt;=Calculator!C9,G36-F37,"")</f>
        <v>4724633.4776075017</v>
      </c>
    </row>
    <row r="38" spans="2:7" x14ac:dyDescent="0.25">
      <c r="B38" s="29">
        <f>IF(32&lt;=Calculator!C9,32,"")</f>
        <v>32</v>
      </c>
      <c r="C38" s="30">
        <f>IF(32&lt;=Calculator!C9,EDATE(Calculator!C10,32-1),"")</f>
        <v>47150</v>
      </c>
      <c r="D38" s="31">
        <f>IF(32&lt;=Calculator!C9,Calculator!C14,"")</f>
        <v>43391.161668276698</v>
      </c>
      <c r="E38" s="31">
        <f>IF(32&lt;=Calculator!C9,G37*Calculator!C11,"")</f>
        <v>33466.153799719803</v>
      </c>
      <c r="F38" s="31">
        <f>IF(32&lt;=Calculator!C9,D38-E38,"")</f>
        <v>9925.0078685568951</v>
      </c>
      <c r="G38" s="31">
        <f>IF(32&lt;=Calculator!C9,G37-F38,"")</f>
        <v>4714708.4697389444</v>
      </c>
    </row>
    <row r="39" spans="2:7" x14ac:dyDescent="0.25">
      <c r="B39" s="26">
        <f>IF(33&lt;=Calculator!C9,33,"")</f>
        <v>33</v>
      </c>
      <c r="C39" s="27">
        <f>IF(33&lt;=Calculator!C9,EDATE(Calculator!C10,33-1),"")</f>
        <v>47178</v>
      </c>
      <c r="D39" s="28">
        <f>IF(33&lt;=Calculator!C9,Calculator!C14,"")</f>
        <v>43391.161668276698</v>
      </c>
      <c r="E39" s="28">
        <f>IF(33&lt;=Calculator!C9,G38*Calculator!C11,"")</f>
        <v>33395.851660650857</v>
      </c>
      <c r="F39" s="28">
        <f>IF(33&lt;=Calculator!C9,D39-E39,"")</f>
        <v>9995.3100076258415</v>
      </c>
      <c r="G39" s="28">
        <f>IF(33&lt;=Calculator!C9,G38-F39,"")</f>
        <v>4704713.1597313182</v>
      </c>
    </row>
    <row r="40" spans="2:7" x14ac:dyDescent="0.25">
      <c r="B40" s="29">
        <f>IF(34&lt;=Calculator!C9,34,"")</f>
        <v>34</v>
      </c>
      <c r="C40" s="30">
        <f>IF(34&lt;=Calculator!C9,EDATE(Calculator!C10,34-1),"")</f>
        <v>47209</v>
      </c>
      <c r="D40" s="31">
        <f>IF(34&lt;=Calculator!C9,Calculator!C14,"")</f>
        <v>43391.161668276698</v>
      </c>
      <c r="E40" s="31">
        <f>IF(34&lt;=Calculator!C9,G39*Calculator!C11,"")</f>
        <v>33325.051548096839</v>
      </c>
      <c r="F40" s="31">
        <f>IF(34&lt;=Calculator!C9,D40-E40,"")</f>
        <v>10066.110120179859</v>
      </c>
      <c r="G40" s="31">
        <f>IF(34&lt;=Calculator!C9,G39-F40,"")</f>
        <v>4694647.0496111382</v>
      </c>
    </row>
    <row r="41" spans="2:7" x14ac:dyDescent="0.25">
      <c r="B41" s="26">
        <f>IF(35&lt;=Calculator!C9,35,"")</f>
        <v>35</v>
      </c>
      <c r="C41" s="27">
        <f>IF(35&lt;=Calculator!C9,EDATE(Calculator!C10,35-1),"")</f>
        <v>47239</v>
      </c>
      <c r="D41" s="28">
        <f>IF(35&lt;=Calculator!C9,Calculator!C14,"")</f>
        <v>43391.161668276698</v>
      </c>
      <c r="E41" s="28">
        <f>IF(35&lt;=Calculator!C9,G40*Calculator!C11,"")</f>
        <v>33253.749934745567</v>
      </c>
      <c r="F41" s="28">
        <f>IF(35&lt;=Calculator!C9,D41-E41,"")</f>
        <v>10137.411733531131</v>
      </c>
      <c r="G41" s="28">
        <f>IF(35&lt;=Calculator!C9,G40-F41,"")</f>
        <v>4684509.6378776068</v>
      </c>
    </row>
    <row r="42" spans="2:7" x14ac:dyDescent="0.25">
      <c r="B42" s="29">
        <f>IF(36&lt;=Calculator!C9,36,"")</f>
        <v>36</v>
      </c>
      <c r="C42" s="30">
        <f>IF(36&lt;=Calculator!C9,EDATE(Calculator!C10,36-1),"")</f>
        <v>47270</v>
      </c>
      <c r="D42" s="31">
        <f>IF(36&lt;=Calculator!C9,Calculator!C14,"")</f>
        <v>43391.161668276698</v>
      </c>
      <c r="E42" s="31">
        <f>IF(36&lt;=Calculator!C9,G41*Calculator!C11,"")</f>
        <v>33181.943268299714</v>
      </c>
      <c r="F42" s="31">
        <f>IF(36&lt;=Calculator!C9,D42-E42,"")</f>
        <v>10209.218399976984</v>
      </c>
      <c r="G42" s="31">
        <f>IF(36&lt;=Calculator!C9,G41-F42,"")</f>
        <v>4674300.4194776295</v>
      </c>
    </row>
    <row r="43" spans="2:7" x14ac:dyDescent="0.25">
      <c r="B43" s="26">
        <f>IF(37&lt;=Calculator!C9,37,"")</f>
        <v>37</v>
      </c>
      <c r="C43" s="27">
        <f>IF(37&lt;=Calculator!C9,EDATE(Calculator!C10,37-1),"")</f>
        <v>47300</v>
      </c>
      <c r="D43" s="28">
        <f>IF(37&lt;=Calculator!C9,Calculator!C14,"")</f>
        <v>43391.161668276698</v>
      </c>
      <c r="E43" s="28">
        <f>IF(37&lt;=Calculator!C9,G42*Calculator!C11,"")</f>
        <v>33109.62797129988</v>
      </c>
      <c r="F43" s="28">
        <f>IF(37&lt;=Calculator!C9,D43-E43,"")</f>
        <v>10281.533696976818</v>
      </c>
      <c r="G43" s="28">
        <f>IF(37&lt;=Calculator!C9,G42-F43,"")</f>
        <v>4664018.885780653</v>
      </c>
    </row>
    <row r="44" spans="2:7" x14ac:dyDescent="0.25">
      <c r="B44" s="29">
        <f>IF(38&lt;=Calculator!C9,38,"")</f>
        <v>38</v>
      </c>
      <c r="C44" s="30">
        <f>IF(38&lt;=Calculator!C9,EDATE(Calculator!C10,38-1),"")</f>
        <v>47331</v>
      </c>
      <c r="D44" s="31">
        <f>IF(38&lt;=Calculator!C9,Calculator!C14,"")</f>
        <v>43391.161668276698</v>
      </c>
      <c r="E44" s="31">
        <f>IF(38&lt;=Calculator!C9,G43*Calculator!C11,"")</f>
        <v>33036.800440946296</v>
      </c>
      <c r="F44" s="31">
        <f>IF(38&lt;=Calculator!C9,D44-E44,"")</f>
        <v>10354.361227330402</v>
      </c>
      <c r="G44" s="31">
        <f>IF(38&lt;=Calculator!C9,G43-F44,"")</f>
        <v>4653664.5245533222</v>
      </c>
    </row>
    <row r="45" spans="2:7" x14ac:dyDescent="0.25">
      <c r="B45" s="26">
        <f>IF(39&lt;=Calculator!C9,39,"")</f>
        <v>39</v>
      </c>
      <c r="C45" s="27">
        <f>IF(39&lt;=Calculator!C9,EDATE(Calculator!C10,39-1),"")</f>
        <v>47362</v>
      </c>
      <c r="D45" s="28">
        <f>IF(39&lt;=Calculator!C9,Calculator!C14,"")</f>
        <v>43391.161668276698</v>
      </c>
      <c r="E45" s="28">
        <f>IF(39&lt;=Calculator!C9,G44*Calculator!C11,"")</f>
        <v>32963.457048919365</v>
      </c>
      <c r="F45" s="28">
        <f>IF(39&lt;=Calculator!C9,D45-E45,"")</f>
        <v>10427.704619357333</v>
      </c>
      <c r="G45" s="28">
        <f>IF(39&lt;=Calculator!C9,G44-F45,"")</f>
        <v>4643236.8199339649</v>
      </c>
    </row>
    <row r="46" spans="2:7" x14ac:dyDescent="0.25">
      <c r="B46" s="29">
        <f>IF(40&lt;=Calculator!C9,40,"")</f>
        <v>40</v>
      </c>
      <c r="C46" s="30">
        <f>IF(40&lt;=Calculator!C9,EDATE(Calculator!C10,40-1),"")</f>
        <v>47392</v>
      </c>
      <c r="D46" s="31">
        <f>IF(40&lt;=Calculator!C9,Calculator!C14,"")</f>
        <v>43391.161668276698</v>
      </c>
      <c r="E46" s="31">
        <f>IF(40&lt;=Calculator!C9,G45*Calculator!C11,"")</f>
        <v>32889.594141198919</v>
      </c>
      <c r="F46" s="31">
        <f>IF(40&lt;=Calculator!C9,D46-E46,"")</f>
        <v>10501.567527077779</v>
      </c>
      <c r="G46" s="31">
        <f>IF(40&lt;=Calculator!C9,G45-F46,"")</f>
        <v>4632735.2524068868</v>
      </c>
    </row>
    <row r="47" spans="2:7" x14ac:dyDescent="0.25">
      <c r="B47" s="26">
        <f>IF(41&lt;=Calculator!C9,41,"")</f>
        <v>41</v>
      </c>
      <c r="C47" s="27">
        <f>IF(41&lt;=Calculator!C9,EDATE(Calculator!C10,41-1),"")</f>
        <v>47423</v>
      </c>
      <c r="D47" s="28">
        <f>IF(41&lt;=Calculator!C9,Calculator!C14,"")</f>
        <v>43391.161668276698</v>
      </c>
      <c r="E47" s="28">
        <f>IF(41&lt;=Calculator!C9,G46*Calculator!C11,"")</f>
        <v>32815.208037882119</v>
      </c>
      <c r="F47" s="28">
        <f>IF(41&lt;=Calculator!C9,D47-E47,"")</f>
        <v>10575.953630394579</v>
      </c>
      <c r="G47" s="28">
        <f>IF(41&lt;=Calculator!C9,G46-F47,"")</f>
        <v>4622159.2987764925</v>
      </c>
    </row>
    <row r="48" spans="2:7" x14ac:dyDescent="0.25">
      <c r="B48" s="29">
        <f>IF(42&lt;=Calculator!C9,42,"")</f>
        <v>42</v>
      </c>
      <c r="C48" s="30">
        <f>IF(42&lt;=Calculator!C9,EDATE(Calculator!C10,42-1),"")</f>
        <v>47453</v>
      </c>
      <c r="D48" s="31">
        <f>IF(42&lt;=Calculator!C9,Calculator!C14,"")</f>
        <v>43391.161668276698</v>
      </c>
      <c r="E48" s="31">
        <f>IF(42&lt;=Calculator!C9,G47*Calculator!C11,"")</f>
        <v>32740.295033000159</v>
      </c>
      <c r="F48" s="31">
        <f>IF(42&lt;=Calculator!C9,D48-E48,"")</f>
        <v>10650.866635276539</v>
      </c>
      <c r="G48" s="31">
        <f>IF(42&lt;=Calculator!C9,G47-F48,"")</f>
        <v>4611508.4321412155</v>
      </c>
    </row>
    <row r="49" spans="2:7" x14ac:dyDescent="0.25">
      <c r="B49" s="26">
        <f>IF(43&lt;=Calculator!C9,43,"")</f>
        <v>43</v>
      </c>
      <c r="C49" s="27">
        <f>IF(43&lt;=Calculator!C9,EDATE(Calculator!C10,43-1),"")</f>
        <v>47484</v>
      </c>
      <c r="D49" s="28">
        <f>IF(43&lt;=Calculator!C9,Calculator!C14,"")</f>
        <v>43391.161668276698</v>
      </c>
      <c r="E49" s="28">
        <f>IF(43&lt;=Calculator!C9,G48*Calculator!C11,"")</f>
        <v>32664.851394333611</v>
      </c>
      <c r="F49" s="28">
        <f>IF(43&lt;=Calculator!C9,D49-E49,"")</f>
        <v>10726.310273943087</v>
      </c>
      <c r="G49" s="28">
        <f>IF(43&lt;=Calculator!C9,G48-F49,"")</f>
        <v>4600782.1218672721</v>
      </c>
    </row>
    <row r="50" spans="2:7" x14ac:dyDescent="0.25">
      <c r="B50" s="29">
        <f>IF(44&lt;=Calculator!C9,44,"")</f>
        <v>44</v>
      </c>
      <c r="C50" s="30">
        <f>IF(44&lt;=Calculator!C9,EDATE(Calculator!C10,44-1),"")</f>
        <v>47515</v>
      </c>
      <c r="D50" s="31">
        <f>IF(44&lt;=Calculator!C9,Calculator!C14,"")</f>
        <v>43391.161668276698</v>
      </c>
      <c r="E50" s="31">
        <f>IF(44&lt;=Calculator!C9,G49*Calculator!C11,"")</f>
        <v>32588.873363226514</v>
      </c>
      <c r="F50" s="31">
        <f>IF(44&lt;=Calculator!C9,D50-E50,"")</f>
        <v>10802.288305050184</v>
      </c>
      <c r="G50" s="31">
        <f>IF(44&lt;=Calculator!C9,G49-F50,"")</f>
        <v>4589979.8335622223</v>
      </c>
    </row>
    <row r="51" spans="2:7" x14ac:dyDescent="0.25">
      <c r="B51" s="26">
        <f>IF(45&lt;=Calculator!C9,45,"")</f>
        <v>45</v>
      </c>
      <c r="C51" s="27">
        <f>IF(45&lt;=Calculator!C9,EDATE(Calculator!C10,45-1),"")</f>
        <v>47543</v>
      </c>
      <c r="D51" s="28">
        <f>IF(45&lt;=Calculator!C9,Calculator!C14,"")</f>
        <v>43391.161668276698</v>
      </c>
      <c r="E51" s="28">
        <f>IF(45&lt;=Calculator!C9,G50*Calculator!C11,"")</f>
        <v>32512.357154399077</v>
      </c>
      <c r="F51" s="28">
        <f>IF(45&lt;=Calculator!C9,D51-E51,"")</f>
        <v>10878.804513877622</v>
      </c>
      <c r="G51" s="28">
        <f>IF(45&lt;=Calculator!C9,G50-F51,"")</f>
        <v>4579101.0290483451</v>
      </c>
    </row>
    <row r="52" spans="2:7" x14ac:dyDescent="0.25">
      <c r="B52" s="29">
        <f>IF(46&lt;=Calculator!C9,46,"")</f>
        <v>46</v>
      </c>
      <c r="C52" s="30">
        <f>IF(46&lt;=Calculator!C9,EDATE(Calculator!C10,46-1),"")</f>
        <v>47574</v>
      </c>
      <c r="D52" s="31">
        <f>IF(46&lt;=Calculator!C9,Calculator!C14,"")</f>
        <v>43391.161668276698</v>
      </c>
      <c r="E52" s="31">
        <f>IF(46&lt;=Calculator!C9,G51*Calculator!C11,"")</f>
        <v>32435.298955759114</v>
      </c>
      <c r="F52" s="31">
        <f>IF(46&lt;=Calculator!C9,D52-E52,"")</f>
        <v>10955.862712517584</v>
      </c>
      <c r="G52" s="31">
        <f>IF(46&lt;=Calculator!C9,G51-F52,"")</f>
        <v>4568145.1663358277</v>
      </c>
    </row>
    <row r="53" spans="2:7" x14ac:dyDescent="0.25">
      <c r="B53" s="26">
        <f>IF(47&lt;=Calculator!C9,47,"")</f>
        <v>47</v>
      </c>
      <c r="C53" s="27">
        <f>IF(47&lt;=Calculator!C9,EDATE(Calculator!C10,47-1),"")</f>
        <v>47604</v>
      </c>
      <c r="D53" s="28">
        <f>IF(47&lt;=Calculator!C9,Calculator!C14,"")</f>
        <v>43391.161668276698</v>
      </c>
      <c r="E53" s="28">
        <f>IF(47&lt;=Calculator!C9,G52*Calculator!C11,"")</f>
        <v>32357.694928212117</v>
      </c>
      <c r="F53" s="28">
        <f>IF(47&lt;=Calculator!C9,D53-E53,"")</f>
        <v>11033.466740064581</v>
      </c>
      <c r="G53" s="28">
        <f>IF(47&lt;=Calculator!C9,G52-F53,"")</f>
        <v>4557111.6995957633</v>
      </c>
    </row>
    <row r="54" spans="2:7" x14ac:dyDescent="0.25">
      <c r="B54" s="29">
        <f>IF(48&lt;=Calculator!C9,48,"")</f>
        <v>48</v>
      </c>
      <c r="C54" s="30">
        <f>IF(48&lt;=Calculator!C9,EDATE(Calculator!C10,48-1),"")</f>
        <v>47635</v>
      </c>
      <c r="D54" s="31">
        <f>IF(48&lt;=Calculator!C9,Calculator!C14,"")</f>
        <v>43391.161668276698</v>
      </c>
      <c r="E54" s="31">
        <f>IF(48&lt;=Calculator!C9,G53*Calculator!C11,"")</f>
        <v>32279.541205469992</v>
      </c>
      <c r="F54" s="31">
        <f>IF(48&lt;=Calculator!C9,D54-E54,"")</f>
        <v>11111.620462806706</v>
      </c>
      <c r="G54" s="31">
        <f>IF(48&lt;=Calculator!C9,G53-F54,"")</f>
        <v>4546000.0791329565</v>
      </c>
    </row>
    <row r="55" spans="2:7" x14ac:dyDescent="0.25">
      <c r="B55" s="26">
        <f>IF(49&lt;=Calculator!C9,49,"")</f>
        <v>49</v>
      </c>
      <c r="C55" s="27">
        <f>IF(49&lt;=Calculator!C9,EDATE(Calculator!C10,49-1),"")</f>
        <v>47665</v>
      </c>
      <c r="D55" s="28">
        <f>IF(49&lt;=Calculator!C9,Calculator!C14,"")</f>
        <v>43391.161668276698</v>
      </c>
      <c r="E55" s="28">
        <f>IF(49&lt;=Calculator!C9,G54*Calculator!C11,"")</f>
        <v>32200.833893858446</v>
      </c>
      <c r="F55" s="28">
        <f>IF(49&lt;=Calculator!C9,D55-E55,"")</f>
        <v>11190.327774418252</v>
      </c>
      <c r="G55" s="28">
        <f>IF(49&lt;=Calculator!C9,G54-F55,"")</f>
        <v>4534809.7513585379</v>
      </c>
    </row>
    <row r="56" spans="2:7" x14ac:dyDescent="0.25">
      <c r="B56" s="29">
        <f>IF(50&lt;=Calculator!C9,50,"")</f>
        <v>50</v>
      </c>
      <c r="C56" s="30">
        <f>IF(50&lt;=Calculator!C9,EDATE(Calculator!C10,50-1),"")</f>
        <v>47696</v>
      </c>
      <c r="D56" s="31">
        <f>IF(50&lt;=Calculator!C9,Calculator!C14,"")</f>
        <v>43391.161668276698</v>
      </c>
      <c r="E56" s="31">
        <f>IF(50&lt;=Calculator!C9,G55*Calculator!C11,"")</f>
        <v>32121.56907212298</v>
      </c>
      <c r="F56" s="31">
        <f>IF(50&lt;=Calculator!C9,D56-E56,"")</f>
        <v>11269.592596153718</v>
      </c>
      <c r="G56" s="31">
        <f>IF(50&lt;=Calculator!C9,G55-F56,"")</f>
        <v>4523540.1587623842</v>
      </c>
    </row>
    <row r="57" spans="2:7" x14ac:dyDescent="0.25">
      <c r="B57" s="26">
        <f>IF(51&lt;=Calculator!C9,51,"")</f>
        <v>51</v>
      </c>
      <c r="C57" s="27">
        <f>IF(51&lt;=Calculator!C9,EDATE(Calculator!C10,51-1),"")</f>
        <v>47727</v>
      </c>
      <c r="D57" s="28">
        <f>IF(51&lt;=Calculator!C9,Calculator!C14,"")</f>
        <v>43391.161668276698</v>
      </c>
      <c r="E57" s="28">
        <f>IF(51&lt;=Calculator!C9,G56*Calculator!C11,"")</f>
        <v>32041.742791233559</v>
      </c>
      <c r="F57" s="28">
        <f>IF(51&lt;=Calculator!C9,D57-E57,"")</f>
        <v>11349.418877043139</v>
      </c>
      <c r="G57" s="28">
        <f>IF(51&lt;=Calculator!C9,G56-F57,"")</f>
        <v>4512190.7398853414</v>
      </c>
    </row>
    <row r="58" spans="2:7" x14ac:dyDescent="0.25">
      <c r="B58" s="29">
        <f>IF(52&lt;=Calculator!C9,52,"")</f>
        <v>52</v>
      </c>
      <c r="C58" s="30">
        <f>IF(52&lt;=Calculator!C9,EDATE(Calculator!C10,52-1),"")</f>
        <v>47757</v>
      </c>
      <c r="D58" s="31">
        <f>IF(52&lt;=Calculator!C9,Calculator!C14,"")</f>
        <v>43391.161668276698</v>
      </c>
      <c r="E58" s="31">
        <f>IF(52&lt;=Calculator!C9,G57*Calculator!C11,"")</f>
        <v>31961.351074187838</v>
      </c>
      <c r="F58" s="31">
        <f>IF(52&lt;=Calculator!C9,D58-E58,"")</f>
        <v>11429.81059408886</v>
      </c>
      <c r="G58" s="31">
        <f>IF(52&lt;=Calculator!C9,G57-F58,"")</f>
        <v>4500760.929291253</v>
      </c>
    </row>
    <row r="59" spans="2:7" x14ac:dyDescent="0.25">
      <c r="B59" s="26">
        <f>IF(53&lt;=Calculator!C9,53,"")</f>
        <v>53</v>
      </c>
      <c r="C59" s="27">
        <f>IF(53&lt;=Calculator!C9,EDATE(Calculator!C10,53-1),"")</f>
        <v>47788</v>
      </c>
      <c r="D59" s="28">
        <f>IF(53&lt;=Calculator!C9,Calculator!C14,"")</f>
        <v>43391.161668276698</v>
      </c>
      <c r="E59" s="28">
        <f>IF(53&lt;=Calculator!C9,G58*Calculator!C11,"")</f>
        <v>31880.389915813044</v>
      </c>
      <c r="F59" s="28">
        <f>IF(53&lt;=Calculator!C9,D59-E59,"")</f>
        <v>11510.771752463654</v>
      </c>
      <c r="G59" s="28">
        <f>IF(53&lt;=Calculator!C9,G58-F59,"")</f>
        <v>4489250.1575387893</v>
      </c>
    </row>
    <row r="60" spans="2:7" x14ac:dyDescent="0.25">
      <c r="B60" s="29">
        <f>IF(54&lt;=Calculator!C9,54,"")</f>
        <v>54</v>
      </c>
      <c r="C60" s="30">
        <f>IF(54&lt;=Calculator!C9,EDATE(Calculator!C10,54-1),"")</f>
        <v>47818</v>
      </c>
      <c r="D60" s="31">
        <f>IF(54&lt;=Calculator!C9,Calculator!C14,"")</f>
        <v>43391.161668276698</v>
      </c>
      <c r="E60" s="31">
        <f>IF(54&lt;=Calculator!C9,G59*Calculator!C11,"")</f>
        <v>31798.855282566426</v>
      </c>
      <c r="F60" s="31">
        <f>IF(54&lt;=Calculator!C9,D60-E60,"")</f>
        <v>11592.306385710272</v>
      </c>
      <c r="G60" s="31">
        <f>IF(54&lt;=Calculator!C9,G59-F60,"")</f>
        <v>4477657.8511530794</v>
      </c>
    </row>
    <row r="61" spans="2:7" x14ac:dyDescent="0.25">
      <c r="B61" s="26">
        <f>IF(55&lt;=Calculator!C9,55,"")</f>
        <v>55</v>
      </c>
      <c r="C61" s="27">
        <f>IF(55&lt;=Calculator!C9,EDATE(Calculator!C10,55-1),"")</f>
        <v>47849</v>
      </c>
      <c r="D61" s="28">
        <f>IF(55&lt;=Calculator!C9,Calculator!C14,"")</f>
        <v>43391.161668276698</v>
      </c>
      <c r="E61" s="28">
        <f>IF(55&lt;=Calculator!C9,G60*Calculator!C11,"")</f>
        <v>31716.743112334316</v>
      </c>
      <c r="F61" s="28">
        <f>IF(55&lt;=Calculator!C9,D61-E61,"")</f>
        <v>11674.418555942382</v>
      </c>
      <c r="G61" s="28">
        <f>IF(55&lt;=Calculator!C9,G60-F61,"")</f>
        <v>4465983.4325971371</v>
      </c>
    </row>
    <row r="62" spans="2:7" x14ac:dyDescent="0.25">
      <c r="B62" s="29">
        <f>IF(56&lt;=Calculator!C9,56,"")</f>
        <v>56</v>
      </c>
      <c r="C62" s="30">
        <f>IF(56&lt;=Calculator!C9,EDATE(Calculator!C10,56-1),"")</f>
        <v>47880</v>
      </c>
      <c r="D62" s="31">
        <f>IF(56&lt;=Calculator!C9,Calculator!C14,"")</f>
        <v>43391.161668276698</v>
      </c>
      <c r="E62" s="31">
        <f>IF(56&lt;=Calculator!C9,G61*Calculator!C11,"")</f>
        <v>31634.049314229724</v>
      </c>
      <c r="F62" s="31">
        <f>IF(56&lt;=Calculator!C9,D62-E62,"")</f>
        <v>11757.112354046974</v>
      </c>
      <c r="G62" s="31">
        <f>IF(56&lt;=Calculator!C9,G61-F62,"")</f>
        <v>4454226.3202430904</v>
      </c>
    </row>
    <row r="63" spans="2:7" x14ac:dyDescent="0.25">
      <c r="B63" s="26">
        <f>IF(57&lt;=Calculator!C9,57,"")</f>
        <v>57</v>
      </c>
      <c r="C63" s="27">
        <f>IF(57&lt;=Calculator!C9,EDATE(Calculator!C10,57-1),"")</f>
        <v>47908</v>
      </c>
      <c r="D63" s="28">
        <f>IF(57&lt;=Calculator!C9,Calculator!C14,"")</f>
        <v>43391.161668276698</v>
      </c>
      <c r="E63" s="28">
        <f>IF(57&lt;=Calculator!C9,G62*Calculator!C11,"")</f>
        <v>31550.76976838856</v>
      </c>
      <c r="F63" s="28">
        <f>IF(57&lt;=Calculator!C9,D63-E63,"")</f>
        <v>11840.391899888138</v>
      </c>
      <c r="G63" s="28">
        <f>IF(57&lt;=Calculator!C9,G62-F63,"")</f>
        <v>4442385.928343202</v>
      </c>
    </row>
    <row r="64" spans="2:7" x14ac:dyDescent="0.25">
      <c r="B64" s="29">
        <f>IF(58&lt;=Calculator!C9,58,"")</f>
        <v>58</v>
      </c>
      <c r="C64" s="30">
        <f>IF(58&lt;=Calculator!C9,EDATE(Calculator!C10,58-1),"")</f>
        <v>47939</v>
      </c>
      <c r="D64" s="31">
        <f>IF(58&lt;=Calculator!C9,Calculator!C14,"")</f>
        <v>43391.161668276698</v>
      </c>
      <c r="E64" s="31">
        <f>IF(58&lt;=Calculator!C9,G63*Calculator!C11,"")</f>
        <v>31466.900325764349</v>
      </c>
      <c r="F64" s="31">
        <f>IF(58&lt;=Calculator!C9,D64-E64,"")</f>
        <v>11924.261342512349</v>
      </c>
      <c r="G64" s="31">
        <f>IF(58&lt;=Calculator!C9,G63-F64,"")</f>
        <v>4430461.6670006895</v>
      </c>
    </row>
    <row r="65" spans="2:7" x14ac:dyDescent="0.25">
      <c r="B65" s="26">
        <f>IF(59&lt;=Calculator!C9,59,"")</f>
        <v>59</v>
      </c>
      <c r="C65" s="27">
        <f>IF(59&lt;=Calculator!C9,EDATE(Calculator!C10,59-1),"")</f>
        <v>47969</v>
      </c>
      <c r="D65" s="28">
        <f>IF(59&lt;=Calculator!C9,Calculator!C14,"")</f>
        <v>43391.161668276698</v>
      </c>
      <c r="E65" s="28">
        <f>IF(59&lt;=Calculator!C9,G64*Calculator!C11,"")</f>
        <v>31382.436807921553</v>
      </c>
      <c r="F65" s="28">
        <f>IF(59&lt;=Calculator!C9,D65-E65,"")</f>
        <v>12008.724860355145</v>
      </c>
      <c r="G65" s="28">
        <f>IF(59&lt;=Calculator!C9,G64-F65,"")</f>
        <v>4418452.9421403343</v>
      </c>
    </row>
    <row r="66" spans="2:7" x14ac:dyDescent="0.25">
      <c r="B66" s="29">
        <f>IF(60&lt;=Calculator!C9,60,"")</f>
        <v>60</v>
      </c>
      <c r="C66" s="30">
        <f>IF(60&lt;=Calculator!C9,EDATE(Calculator!C10,60-1),"")</f>
        <v>48000</v>
      </c>
      <c r="D66" s="31">
        <f>IF(60&lt;=Calculator!C9,Calculator!C14,"")</f>
        <v>43391.161668276698</v>
      </c>
      <c r="E66" s="31">
        <f>IF(60&lt;=Calculator!C9,G65*Calculator!C11,"")</f>
        <v>31297.375006827369</v>
      </c>
      <c r="F66" s="31">
        <f>IF(60&lt;=Calculator!C9,D66-E66,"")</f>
        <v>12093.786661449329</v>
      </c>
      <c r="G66" s="31">
        <f>IF(60&lt;=Calculator!C9,G65-F66,"")</f>
        <v>4406359.1554788854</v>
      </c>
    </row>
    <row r="67" spans="2:7" x14ac:dyDescent="0.25">
      <c r="B67" s="26">
        <f>IF(61&lt;=Calculator!C9,61,"")</f>
        <v>61</v>
      </c>
      <c r="C67" s="27">
        <f>IF(61&lt;=Calculator!C9,EDATE(Calculator!C10,61-1),"")</f>
        <v>48030</v>
      </c>
      <c r="D67" s="28">
        <f>IF(61&lt;=Calculator!C9,Calculator!C14,"")</f>
        <v>43391.161668276698</v>
      </c>
      <c r="E67" s="28">
        <f>IF(61&lt;=Calculator!C9,G66*Calculator!C11,"")</f>
        <v>31211.710684642108</v>
      </c>
      <c r="F67" s="28">
        <f>IF(61&lt;=Calculator!C9,D67-E67,"")</f>
        <v>12179.45098363459</v>
      </c>
      <c r="G67" s="28">
        <f>IF(61&lt;=Calculator!C9,G66-F67,"")</f>
        <v>4394179.7044952512</v>
      </c>
    </row>
    <row r="68" spans="2:7" x14ac:dyDescent="0.25">
      <c r="B68" s="29">
        <f>IF(62&lt;=Calculator!C9,62,"")</f>
        <v>62</v>
      </c>
      <c r="C68" s="30">
        <f>IF(62&lt;=Calculator!C9,EDATE(Calculator!C10,62-1),"")</f>
        <v>48061</v>
      </c>
      <c r="D68" s="31">
        <f>IF(62&lt;=Calculator!C9,Calculator!C14,"")</f>
        <v>43391.161668276698</v>
      </c>
      <c r="E68" s="31">
        <f>IF(62&lt;=Calculator!C9,G67*Calculator!C11,"")</f>
        <v>31125.439573508032</v>
      </c>
      <c r="F68" s="31">
        <f>IF(62&lt;=Calculator!C9,D68-E68,"")</f>
        <v>12265.722094768666</v>
      </c>
      <c r="G68" s="31">
        <f>IF(62&lt;=Calculator!C9,G67-F68,"")</f>
        <v>4381913.9824004825</v>
      </c>
    </row>
    <row r="69" spans="2:7" x14ac:dyDescent="0.25">
      <c r="B69" s="26">
        <f>IF(63&lt;=Calculator!C9,63,"")</f>
        <v>63</v>
      </c>
      <c r="C69" s="27">
        <f>IF(63&lt;=Calculator!C9,EDATE(Calculator!C10,63-1),"")</f>
        <v>48092</v>
      </c>
      <c r="D69" s="28">
        <f>IF(63&lt;=Calculator!C9,Calculator!C14,"")</f>
        <v>43391.161668276698</v>
      </c>
      <c r="E69" s="28">
        <f>IF(63&lt;=Calculator!C9,G68*Calculator!C11,"")</f>
        <v>31038.557375336753</v>
      </c>
      <c r="F69" s="28">
        <f>IF(63&lt;=Calculator!C9,D69-E69,"")</f>
        <v>12352.604292939945</v>
      </c>
      <c r="G69" s="28">
        <f>IF(63&lt;=Calculator!C9,G68-F69,"")</f>
        <v>4369561.3781075422</v>
      </c>
    </row>
    <row r="70" spans="2:7" x14ac:dyDescent="0.25">
      <c r="B70" s="29">
        <f>IF(64&lt;=Calculator!C9,64,"")</f>
        <v>64</v>
      </c>
      <c r="C70" s="30">
        <f>IF(64&lt;=Calculator!C9,EDATE(Calculator!C10,64-1),"")</f>
        <v>48122</v>
      </c>
      <c r="D70" s="31">
        <f>IF(64&lt;=Calculator!C9,Calculator!C14,"")</f>
        <v>43391.161668276698</v>
      </c>
      <c r="E70" s="31">
        <f>IF(64&lt;=Calculator!C9,G69*Calculator!C11,"")</f>
        <v>30951.059761595094</v>
      </c>
      <c r="F70" s="31">
        <f>IF(64&lt;=Calculator!C9,D70-E70,"")</f>
        <v>12440.101906681604</v>
      </c>
      <c r="G70" s="31">
        <f>IF(64&lt;=Calculator!C9,G69-F70,"")</f>
        <v>4357121.2762008607</v>
      </c>
    </row>
    <row r="71" spans="2:7" x14ac:dyDescent="0.25">
      <c r="B71" s="26">
        <f>IF(65&lt;=Calculator!C9,65,"")</f>
        <v>65</v>
      </c>
      <c r="C71" s="27">
        <f>IF(65&lt;=Calculator!C9,EDATE(Calculator!C10,65-1),"")</f>
        <v>48153</v>
      </c>
      <c r="D71" s="28">
        <f>IF(65&lt;=Calculator!C9,Calculator!C14,"")</f>
        <v>43391.161668276698</v>
      </c>
      <c r="E71" s="28">
        <f>IF(65&lt;=Calculator!C9,G70*Calculator!C11,"")</f>
        <v>30862.942373089434</v>
      </c>
      <c r="F71" s="28">
        <f>IF(65&lt;=Calculator!C9,D71-E71,"")</f>
        <v>12528.219295187264</v>
      </c>
      <c r="G71" s="28">
        <f>IF(65&lt;=Calculator!C9,G70-F71,"")</f>
        <v>4344593.0569056738</v>
      </c>
    </row>
    <row r="72" spans="2:7" x14ac:dyDescent="0.25">
      <c r="B72" s="29">
        <f>IF(66&lt;=Calculator!C9,66,"")</f>
        <v>66</v>
      </c>
      <c r="C72" s="30">
        <f>IF(66&lt;=Calculator!C9,EDATE(Calculator!C10,66-1),"")</f>
        <v>48183</v>
      </c>
      <c r="D72" s="31">
        <f>IF(66&lt;=Calculator!C9,Calculator!C14,"")</f>
        <v>43391.161668276698</v>
      </c>
      <c r="E72" s="31">
        <f>IF(66&lt;=Calculator!C9,G71*Calculator!C11,"")</f>
        <v>30774.200819748527</v>
      </c>
      <c r="F72" s="31">
        <f>IF(66&lt;=Calculator!C9,D72-E72,"")</f>
        <v>12616.960848528171</v>
      </c>
      <c r="G72" s="31">
        <f>IF(66&lt;=Calculator!C9,G71-F72,"")</f>
        <v>4331976.0960571459</v>
      </c>
    </row>
    <row r="73" spans="2:7" x14ac:dyDescent="0.25">
      <c r="B73" s="26">
        <f>IF(67&lt;=Calculator!C9,67,"")</f>
        <v>67</v>
      </c>
      <c r="C73" s="27">
        <f>IF(67&lt;=Calculator!C9,EDATE(Calculator!C10,67-1),"")</f>
        <v>48214</v>
      </c>
      <c r="D73" s="28">
        <f>IF(67&lt;=Calculator!C9,Calculator!C14,"")</f>
        <v>43391.161668276698</v>
      </c>
      <c r="E73" s="28">
        <f>IF(67&lt;=Calculator!C9,G72*Calculator!C11,"")</f>
        <v>30684.830680404786</v>
      </c>
      <c r="F73" s="28">
        <f>IF(67&lt;=Calculator!C9,D73-E73,"")</f>
        <v>12706.330987871912</v>
      </c>
      <c r="G73" s="28">
        <f>IF(67&lt;=Calculator!C9,G72-F73,"")</f>
        <v>4319269.7650692742</v>
      </c>
    </row>
    <row r="74" spans="2:7" x14ac:dyDescent="0.25">
      <c r="B74" s="29">
        <f>IF(68&lt;=Calculator!C9,68,"")</f>
        <v>68</v>
      </c>
      <c r="C74" s="30">
        <f>IF(68&lt;=Calculator!C9,EDATE(Calculator!C10,68-1),"")</f>
        <v>48245</v>
      </c>
      <c r="D74" s="31">
        <f>IF(68&lt;=Calculator!C9,Calculator!C14,"")</f>
        <v>43391.161668276698</v>
      </c>
      <c r="E74" s="31">
        <f>IF(68&lt;=Calculator!C9,G73*Calculator!C11,"")</f>
        <v>30594.827502574029</v>
      </c>
      <c r="F74" s="31">
        <f>IF(68&lt;=Calculator!C9,D74-E74,"")</f>
        <v>12796.334165702669</v>
      </c>
      <c r="G74" s="31">
        <f>IF(68&lt;=Calculator!C9,G73-F74,"")</f>
        <v>4306473.4309035717</v>
      </c>
    </row>
    <row r="75" spans="2:7" x14ac:dyDescent="0.25">
      <c r="B75" s="26">
        <f>IF(69&lt;=Calculator!C9,69,"")</f>
        <v>69</v>
      </c>
      <c r="C75" s="27">
        <f>IF(69&lt;=Calculator!C9,EDATE(Calculator!C10,69-1),"")</f>
        <v>48274</v>
      </c>
      <c r="D75" s="28">
        <f>IF(69&lt;=Calculator!C9,Calculator!C14,"")</f>
        <v>43391.161668276698</v>
      </c>
      <c r="E75" s="28">
        <f>IF(69&lt;=Calculator!C9,G74*Calculator!C11,"")</f>
        <v>30504.186802233635</v>
      </c>
      <c r="F75" s="28">
        <f>IF(69&lt;=Calculator!C9,D75-E75,"")</f>
        <v>12886.974866043063</v>
      </c>
      <c r="G75" s="28">
        <f>IF(69&lt;=Calculator!C9,G74-F75,"")</f>
        <v>4293586.4560375288</v>
      </c>
    </row>
    <row r="76" spans="2:7" x14ac:dyDescent="0.25">
      <c r="B76" s="29">
        <f>IF(70&lt;=Calculator!C9,70,"")</f>
        <v>70</v>
      </c>
      <c r="C76" s="30">
        <f>IF(70&lt;=Calculator!C9,EDATE(Calculator!C10,70-1),"")</f>
        <v>48305</v>
      </c>
      <c r="D76" s="31">
        <f>IF(70&lt;=Calculator!C9,Calculator!C14,"")</f>
        <v>43391.161668276698</v>
      </c>
      <c r="E76" s="31">
        <f>IF(70&lt;=Calculator!C9,G75*Calculator!C11,"")</f>
        <v>30412.904063599166</v>
      </c>
      <c r="F76" s="31">
        <f>IF(70&lt;=Calculator!C9,D76-E76,"")</f>
        <v>12978.257604677532</v>
      </c>
      <c r="G76" s="31">
        <f>IF(70&lt;=Calculator!C9,G75-F76,"")</f>
        <v>4280608.1984328516</v>
      </c>
    </row>
    <row r="77" spans="2:7" x14ac:dyDescent="0.25">
      <c r="B77" s="26">
        <f>IF(71&lt;=Calculator!C9,71,"")</f>
        <v>71</v>
      </c>
      <c r="C77" s="27">
        <f>IF(71&lt;=Calculator!C9,EDATE(Calculator!C10,71-1),"")</f>
        <v>48335</v>
      </c>
      <c r="D77" s="28">
        <f>IF(71&lt;=Calculator!C9,Calculator!C14,"")</f>
        <v>43391.161668276698</v>
      </c>
      <c r="E77" s="28">
        <f>IF(71&lt;=Calculator!C9,G76*Calculator!C11,"")</f>
        <v>30320.974738899367</v>
      </c>
      <c r="F77" s="28">
        <f>IF(71&lt;=Calculator!C9,D77-E77,"")</f>
        <v>13070.186929377331</v>
      </c>
      <c r="G77" s="28">
        <f>IF(71&lt;=Calculator!C9,G76-F77,"")</f>
        <v>4267538.0115034739</v>
      </c>
    </row>
    <row r="78" spans="2:7" x14ac:dyDescent="0.25">
      <c r="B78" s="29">
        <f>IF(72&lt;=Calculator!C9,72,"")</f>
        <v>72</v>
      </c>
      <c r="C78" s="30">
        <f>IF(72&lt;=Calculator!C9,EDATE(Calculator!C10,72-1),"")</f>
        <v>48366</v>
      </c>
      <c r="D78" s="31">
        <f>IF(72&lt;=Calculator!C9,Calculator!C14,"")</f>
        <v>43391.161668276698</v>
      </c>
      <c r="E78" s="31">
        <f>IF(72&lt;=Calculator!C9,G77*Calculator!C11,"")</f>
        <v>30228.394248149609</v>
      </c>
      <c r="F78" s="31">
        <f>IF(72&lt;=Calculator!C9,D78-E78,"")</f>
        <v>13162.767420127089</v>
      </c>
      <c r="G78" s="31">
        <f>IF(72&lt;=Calculator!C9,G77-F78,"")</f>
        <v>4254375.2440833468</v>
      </c>
    </row>
    <row r="79" spans="2:7" x14ac:dyDescent="0.25">
      <c r="B79" s="26">
        <f>IF(73&lt;=Calculator!C9,73,"")</f>
        <v>73</v>
      </c>
      <c r="C79" s="27">
        <f>IF(73&lt;=Calculator!C9,EDATE(Calculator!C10,73-1),"")</f>
        <v>48396</v>
      </c>
      <c r="D79" s="28">
        <f>IF(73&lt;=Calculator!C9,Calculator!C14,"")</f>
        <v>43391.161668276698</v>
      </c>
      <c r="E79" s="28">
        <f>IF(73&lt;=Calculator!C9,G78*Calculator!C11,"")</f>
        <v>30135.157978923708</v>
      </c>
      <c r="F79" s="28">
        <f>IF(73&lt;=Calculator!C9,D79-E79,"")</f>
        <v>13256.00368935299</v>
      </c>
      <c r="G79" s="28">
        <f>IF(73&lt;=Calculator!C9,G78-F79,"")</f>
        <v>4241119.2403939934</v>
      </c>
    </row>
    <row r="80" spans="2:7" x14ac:dyDescent="0.25">
      <c r="B80" s="29">
        <f>IF(74&lt;=Calculator!C9,74,"")</f>
        <v>74</v>
      </c>
      <c r="C80" s="30">
        <f>IF(74&lt;=Calculator!C9,EDATE(Calculator!C10,74-1),"")</f>
        <v>48427</v>
      </c>
      <c r="D80" s="31">
        <f>IF(74&lt;=Calculator!C9,Calculator!C14,"")</f>
        <v>43391.161668276698</v>
      </c>
      <c r="E80" s="31">
        <f>IF(74&lt;=Calculator!C9,G79*Calculator!C11,"")</f>
        <v>30041.261286124121</v>
      </c>
      <c r="F80" s="31">
        <f>IF(74&lt;=Calculator!C9,D80-E80,"")</f>
        <v>13349.900382152577</v>
      </c>
      <c r="G80" s="31">
        <f>IF(74&lt;=Calculator!C9,G79-F80,"")</f>
        <v>4227769.3400118407</v>
      </c>
    </row>
    <row r="81" spans="2:7" x14ac:dyDescent="0.25">
      <c r="B81" s="26">
        <f>IF(75&lt;=Calculator!C9,75,"")</f>
        <v>75</v>
      </c>
      <c r="C81" s="27">
        <f>IF(75&lt;=Calculator!C9,EDATE(Calculator!C10,75-1),"")</f>
        <v>48458</v>
      </c>
      <c r="D81" s="28">
        <f>IF(75&lt;=Calculator!C9,Calculator!C14,"")</f>
        <v>43391.161668276698</v>
      </c>
      <c r="E81" s="28">
        <f>IF(75&lt;=Calculator!C9,G80*Calculator!C11,"")</f>
        <v>29946.69949175054</v>
      </c>
      <c r="F81" s="28">
        <f>IF(75&lt;=Calculator!C9,D81-E81,"")</f>
        <v>13444.462176526158</v>
      </c>
      <c r="G81" s="28">
        <f>IF(75&lt;=Calculator!C9,G80-F81,"")</f>
        <v>4214324.8778353147</v>
      </c>
    </row>
    <row r="82" spans="2:7" x14ac:dyDescent="0.25">
      <c r="B82" s="29">
        <f>IF(76&lt;=Calculator!C9,76,"")</f>
        <v>76</v>
      </c>
      <c r="C82" s="30">
        <f>IF(76&lt;=Calculator!C9,EDATE(Calculator!C10,76-1),"")</f>
        <v>48488</v>
      </c>
      <c r="D82" s="31">
        <f>IF(76&lt;=Calculator!C9,Calculator!C14,"")</f>
        <v>43391.161668276698</v>
      </c>
      <c r="E82" s="31">
        <f>IF(76&lt;=Calculator!C9,G81*Calculator!C11,"")</f>
        <v>29851.467884666814</v>
      </c>
      <c r="F82" s="31">
        <f>IF(76&lt;=Calculator!C9,D82-E82,"")</f>
        <v>13539.693783609884</v>
      </c>
      <c r="G82" s="31">
        <f>IF(76&lt;=Calculator!C9,G81-F82,"")</f>
        <v>4200785.1840517046</v>
      </c>
    </row>
    <row r="83" spans="2:7" x14ac:dyDescent="0.25">
      <c r="B83" s="26">
        <f>IF(77&lt;=Calculator!C9,77,"")</f>
        <v>77</v>
      </c>
      <c r="C83" s="27">
        <f>IF(77&lt;=Calculator!C9,EDATE(Calculator!C10,77-1),"")</f>
        <v>48519</v>
      </c>
      <c r="D83" s="28">
        <f>IF(77&lt;=Calculator!C9,Calculator!C14,"")</f>
        <v>43391.161668276698</v>
      </c>
      <c r="E83" s="28">
        <f>IF(77&lt;=Calculator!C9,G82*Calculator!C11,"")</f>
        <v>29755.561720366244</v>
      </c>
      <c r="F83" s="28">
        <f>IF(77&lt;=Calculator!C9,D83-E83,"")</f>
        <v>13635.599947910454</v>
      </c>
      <c r="G83" s="28">
        <f>IF(77&lt;=Calculator!C9,G82-F83,"")</f>
        <v>4187149.5841037943</v>
      </c>
    </row>
    <row r="84" spans="2:7" x14ac:dyDescent="0.25">
      <c r="B84" s="29">
        <f>IF(78&lt;=Calculator!C9,78,"")</f>
        <v>78</v>
      </c>
      <c r="C84" s="30">
        <f>IF(78&lt;=Calculator!C9,EDATE(Calculator!C10,78-1),"")</f>
        <v>48549</v>
      </c>
      <c r="D84" s="31">
        <f>IF(78&lt;=Calculator!C9,Calculator!C14,"")</f>
        <v>43391.161668276698</v>
      </c>
      <c r="E84" s="31">
        <f>IF(78&lt;=Calculator!C9,G83*Calculator!C11,"")</f>
        <v>29658.976220735211</v>
      </c>
      <c r="F84" s="31">
        <f>IF(78&lt;=Calculator!C9,D84-E84,"")</f>
        <v>13732.185447541488</v>
      </c>
      <c r="G84" s="31">
        <f>IF(78&lt;=Calculator!C9,G83-F84,"")</f>
        <v>4173417.3986562528</v>
      </c>
    </row>
    <row r="85" spans="2:7" x14ac:dyDescent="0.25">
      <c r="B85" s="26">
        <f>IF(79&lt;=Calculator!C9,79,"")</f>
        <v>79</v>
      </c>
      <c r="C85" s="27">
        <f>IF(79&lt;=Calculator!C9,EDATE(Calculator!C10,79-1),"")</f>
        <v>48580</v>
      </c>
      <c r="D85" s="28">
        <f>IF(79&lt;=Calculator!C9,Calculator!C14,"")</f>
        <v>43391.161668276698</v>
      </c>
      <c r="E85" s="28">
        <f>IF(79&lt;=Calculator!C9,G84*Calculator!C11,"")</f>
        <v>29561.706573815125</v>
      </c>
      <c r="F85" s="28">
        <f>IF(79&lt;=Calculator!C9,D85-E85,"")</f>
        <v>13829.455094461573</v>
      </c>
      <c r="G85" s="28">
        <f>IF(79&lt;=Calculator!C9,G84-F85,"")</f>
        <v>4159587.943561791</v>
      </c>
    </row>
    <row r="86" spans="2:7" x14ac:dyDescent="0.25">
      <c r="B86" s="29">
        <f>IF(80&lt;=Calculator!C9,80,"")</f>
        <v>80</v>
      </c>
      <c r="C86" s="30">
        <f>IF(80&lt;=Calculator!C9,EDATE(Calculator!C10,80-1),"")</f>
        <v>48611</v>
      </c>
      <c r="D86" s="31">
        <f>IF(80&lt;=Calculator!C9,Calculator!C14,"")</f>
        <v>43391.161668276698</v>
      </c>
      <c r="E86" s="31">
        <f>IF(80&lt;=Calculator!C9,G85*Calculator!C11,"")</f>
        <v>29463.747933562689</v>
      </c>
      <c r="F86" s="31">
        <f>IF(80&lt;=Calculator!C9,D86-E86,"")</f>
        <v>13927.413734714009</v>
      </c>
      <c r="G86" s="31">
        <f>IF(80&lt;=Calculator!C9,G85-F86,"")</f>
        <v>4145660.5298270769</v>
      </c>
    </row>
    <row r="87" spans="2:7" x14ac:dyDescent="0.25">
      <c r="B87" s="26">
        <f>IF(81&lt;=Calculator!C9,81,"")</f>
        <v>81</v>
      </c>
      <c r="C87" s="27">
        <f>IF(81&lt;=Calculator!C9,EDATE(Calculator!C10,81-1),"")</f>
        <v>48639</v>
      </c>
      <c r="D87" s="28">
        <f>IF(81&lt;=Calculator!C9,Calculator!C14,"")</f>
        <v>43391.161668276698</v>
      </c>
      <c r="E87" s="28">
        <f>IF(81&lt;=Calculator!C9,G86*Calculator!C11,"")</f>
        <v>29365.095419608464</v>
      </c>
      <c r="F87" s="28">
        <f>IF(81&lt;=Calculator!C9,D87-E87,"")</f>
        <v>14026.066248668234</v>
      </c>
      <c r="G87" s="28">
        <f>IF(81&lt;=Calculator!C9,G86-F87,"")</f>
        <v>4131634.4635784086</v>
      </c>
    </row>
    <row r="88" spans="2:7" x14ac:dyDescent="0.25">
      <c r="B88" s="29">
        <f>IF(82&lt;=Calculator!C9,82,"")</f>
        <v>82</v>
      </c>
      <c r="C88" s="30">
        <f>IF(82&lt;=Calculator!C9,EDATE(Calculator!C10,82-1),"")</f>
        <v>48670</v>
      </c>
      <c r="D88" s="31">
        <f>IF(82&lt;=Calculator!C9,Calculator!C14,"")</f>
        <v>43391.161668276698</v>
      </c>
      <c r="E88" s="31">
        <f>IF(82&lt;=Calculator!C9,G87*Calculator!C11,"")</f>
        <v>29265.744117013728</v>
      </c>
      <c r="F88" s="31">
        <f>IF(82&lt;=Calculator!C9,D88-E88,"")</f>
        <v>14125.41755126297</v>
      </c>
      <c r="G88" s="31">
        <f>IF(82&lt;=Calculator!C9,G87-F88,"")</f>
        <v>4117509.0460271458</v>
      </c>
    </row>
    <row r="89" spans="2:7" x14ac:dyDescent="0.25">
      <c r="B89" s="26">
        <f>IF(83&lt;=Calculator!C9,83,"")</f>
        <v>83</v>
      </c>
      <c r="C89" s="27">
        <f>IF(83&lt;=Calculator!C9,EDATE(Calculator!C10,83-1),"")</f>
        <v>48700</v>
      </c>
      <c r="D89" s="28">
        <f>IF(83&lt;=Calculator!C9,Calculator!C14,"")</f>
        <v>43391.161668276698</v>
      </c>
      <c r="E89" s="28">
        <f>IF(83&lt;=Calculator!C9,G88*Calculator!C11,"")</f>
        <v>29165.689076025617</v>
      </c>
      <c r="F89" s="28">
        <f>IF(83&lt;=Calculator!C9,D89-E89,"")</f>
        <v>14225.472592251081</v>
      </c>
      <c r="G89" s="28">
        <f>IF(83&lt;=Calculator!C9,G88-F89,"")</f>
        <v>4103283.5734348949</v>
      </c>
    </row>
    <row r="90" spans="2:7" x14ac:dyDescent="0.25">
      <c r="B90" s="29">
        <f>IF(84&lt;=Calculator!C9,84,"")</f>
        <v>84</v>
      </c>
      <c r="C90" s="30">
        <f>IF(84&lt;=Calculator!C9,EDATE(Calculator!C10,84-1),"")</f>
        <v>48731</v>
      </c>
      <c r="D90" s="31">
        <f>IF(84&lt;=Calculator!C9,Calculator!C14,"")</f>
        <v>43391.161668276698</v>
      </c>
      <c r="E90" s="31">
        <f>IF(84&lt;=Calculator!C9,G89*Calculator!C11,"")</f>
        <v>29064.925311830506</v>
      </c>
      <c r="F90" s="31">
        <f>IF(84&lt;=Calculator!C9,D90-E90,"")</f>
        <v>14326.236356446192</v>
      </c>
      <c r="G90" s="31">
        <f>IF(84&lt;=Calculator!C9,G89-F90,"")</f>
        <v>4088957.3370784489</v>
      </c>
    </row>
    <row r="91" spans="2:7" x14ac:dyDescent="0.25">
      <c r="B91" s="26">
        <f>IF(85&lt;=Calculator!C9,85,"")</f>
        <v>85</v>
      </c>
      <c r="C91" s="27">
        <f>IF(85&lt;=Calculator!C9,EDATE(Calculator!C10,85-1),"")</f>
        <v>48761</v>
      </c>
      <c r="D91" s="28">
        <f>IF(85&lt;=Calculator!C9,Calculator!C14,"")</f>
        <v>43391.161668276698</v>
      </c>
      <c r="E91" s="28">
        <f>IF(85&lt;=Calculator!C9,G90*Calculator!C11,"")</f>
        <v>28963.447804305681</v>
      </c>
      <c r="F91" s="28">
        <f>IF(85&lt;=Calculator!C9,D91-E91,"")</f>
        <v>14427.713863971017</v>
      </c>
      <c r="G91" s="28">
        <f>IF(85&lt;=Calculator!C9,G90-F91,"")</f>
        <v>4074529.6232144777</v>
      </c>
    </row>
    <row r="92" spans="2:7" x14ac:dyDescent="0.25">
      <c r="B92" s="29">
        <f>IF(86&lt;=Calculator!C9,86,"")</f>
        <v>86</v>
      </c>
      <c r="C92" s="30">
        <f>IF(86&lt;=Calculator!C9,EDATE(Calculator!C10,86-1),"")</f>
        <v>48792</v>
      </c>
      <c r="D92" s="31">
        <f>IF(86&lt;=Calculator!C9,Calculator!C14,"")</f>
        <v>43391.161668276698</v>
      </c>
      <c r="E92" s="31">
        <f>IF(86&lt;=Calculator!C9,G91*Calculator!C11,"")</f>
        <v>28861.251497769219</v>
      </c>
      <c r="F92" s="31">
        <f>IF(86&lt;=Calculator!C9,D92-E92,"")</f>
        <v>14529.910170507479</v>
      </c>
      <c r="G92" s="31">
        <f>IF(86&lt;=Calculator!C9,G91-F92,"")</f>
        <v>4059999.7130439701</v>
      </c>
    </row>
    <row r="93" spans="2:7" x14ac:dyDescent="0.25">
      <c r="B93" s="26">
        <f>IF(87&lt;=Calculator!C9,87,"")</f>
        <v>87</v>
      </c>
      <c r="C93" s="27">
        <f>IF(87&lt;=Calculator!C9,EDATE(Calculator!C10,87-1),"")</f>
        <v>48823</v>
      </c>
      <c r="D93" s="28">
        <f>IF(87&lt;=Calculator!C9,Calculator!C14,"")</f>
        <v>43391.161668276698</v>
      </c>
      <c r="E93" s="28">
        <f>IF(87&lt;=Calculator!C9,G92*Calculator!C11,"")</f>
        <v>28758.331300728125</v>
      </c>
      <c r="F93" s="28">
        <f>IF(87&lt;=Calculator!C9,D93-E93,"")</f>
        <v>14632.830367548573</v>
      </c>
      <c r="G93" s="28">
        <f>IF(87&lt;=Calculator!C9,G92-F93,"")</f>
        <v>4045366.8826764217</v>
      </c>
    </row>
    <row r="94" spans="2:7" x14ac:dyDescent="0.25">
      <c r="B94" s="29">
        <f>IF(88&lt;=Calculator!C9,88,"")</f>
        <v>88</v>
      </c>
      <c r="C94" s="30">
        <f>IF(88&lt;=Calculator!C9,EDATE(Calculator!C10,88-1),"")</f>
        <v>48853</v>
      </c>
      <c r="D94" s="31">
        <f>IF(88&lt;=Calculator!C9,Calculator!C14,"")</f>
        <v>43391.161668276698</v>
      </c>
      <c r="E94" s="31">
        <f>IF(88&lt;=Calculator!C9,G93*Calculator!C11,"")</f>
        <v>28654.682085624656</v>
      </c>
      <c r="F94" s="31">
        <f>IF(88&lt;=Calculator!C9,D94-E94,"")</f>
        <v>14736.479582652042</v>
      </c>
      <c r="G94" s="31">
        <f>IF(88&lt;=Calculator!C9,G93-F94,"")</f>
        <v>4030630.4030937697</v>
      </c>
    </row>
    <row r="95" spans="2:7" x14ac:dyDescent="0.25">
      <c r="B95" s="26">
        <f>IF(89&lt;=Calculator!C9,89,"")</f>
        <v>89</v>
      </c>
      <c r="C95" s="27">
        <f>IF(89&lt;=Calculator!C9,EDATE(Calculator!C10,89-1),"")</f>
        <v>48884</v>
      </c>
      <c r="D95" s="28">
        <f>IF(89&lt;=Calculator!C9,Calculator!C14,"")</f>
        <v>43391.161668276698</v>
      </c>
      <c r="E95" s="28">
        <f>IF(89&lt;=Calculator!C9,G94*Calculator!C11,"")</f>
        <v>28550.298688580871</v>
      </c>
      <c r="F95" s="28">
        <f>IF(89&lt;=Calculator!C9,D95-E95,"")</f>
        <v>14840.862979695827</v>
      </c>
      <c r="G95" s="28">
        <f>IF(89&lt;=Calculator!C9,G94-F95,"")</f>
        <v>4015789.540114074</v>
      </c>
    </row>
    <row r="96" spans="2:7" x14ac:dyDescent="0.25">
      <c r="B96" s="29">
        <f>IF(90&lt;=Calculator!C9,90,"")</f>
        <v>90</v>
      </c>
      <c r="C96" s="30">
        <f>IF(90&lt;=Calculator!C9,EDATE(Calculator!C10,90-1),"")</f>
        <v>48914</v>
      </c>
      <c r="D96" s="31">
        <f>IF(90&lt;=Calculator!C9,Calculator!C14,"")</f>
        <v>43391.161668276698</v>
      </c>
      <c r="E96" s="31">
        <f>IF(90&lt;=Calculator!C9,G95*Calculator!C11,"")</f>
        <v>28445.175909141359</v>
      </c>
      <c r="F96" s="31">
        <f>IF(90&lt;=Calculator!C9,D96-E96,"")</f>
        <v>14945.985759135339</v>
      </c>
      <c r="G96" s="31">
        <f>IF(90&lt;=Calculator!C9,G95-F96,"")</f>
        <v>4000843.5543549387</v>
      </c>
    </row>
    <row r="97" spans="2:7" x14ac:dyDescent="0.25">
      <c r="B97" s="26">
        <f>IF(91&lt;=Calculator!C9,91,"")</f>
        <v>91</v>
      </c>
      <c r="C97" s="27">
        <f>IF(91&lt;=Calculator!C9,EDATE(Calculator!C10,91-1),"")</f>
        <v>48945</v>
      </c>
      <c r="D97" s="28">
        <f>IF(91&lt;=Calculator!C9,Calculator!C14,"")</f>
        <v>43391.161668276698</v>
      </c>
      <c r="E97" s="28">
        <f>IF(91&lt;=Calculator!C9,G96*Calculator!C11,"")</f>
        <v>28339.308510014151</v>
      </c>
      <c r="F97" s="28">
        <f>IF(91&lt;=Calculator!C9,D97-E97,"")</f>
        <v>15051.853158262547</v>
      </c>
      <c r="G97" s="28">
        <f>IF(91&lt;=Calculator!C9,G96-F97,"")</f>
        <v>3985791.7011966761</v>
      </c>
    </row>
    <row r="98" spans="2:7" x14ac:dyDescent="0.25">
      <c r="B98" s="29">
        <f>IF(92&lt;=Calculator!C9,92,"")</f>
        <v>92</v>
      </c>
      <c r="C98" s="30">
        <f>IF(92&lt;=Calculator!C9,EDATE(Calculator!C10,92-1),"")</f>
        <v>48976</v>
      </c>
      <c r="D98" s="31">
        <f>IF(92&lt;=Calculator!C9,Calculator!C14,"")</f>
        <v>43391.161668276698</v>
      </c>
      <c r="E98" s="31">
        <f>IF(92&lt;=Calculator!C9,G97*Calculator!C11,"")</f>
        <v>28232.691216809792</v>
      </c>
      <c r="F98" s="31">
        <f>IF(92&lt;=Calculator!C9,D98-E98,"")</f>
        <v>15158.470451466907</v>
      </c>
      <c r="G98" s="31">
        <f>IF(92&lt;=Calculator!C9,G97-F98,"")</f>
        <v>3970633.2307452094</v>
      </c>
    </row>
    <row r="99" spans="2:7" x14ac:dyDescent="0.25">
      <c r="B99" s="26">
        <f>IF(93&lt;=Calculator!C9,93,"")</f>
        <v>93</v>
      </c>
      <c r="C99" s="27">
        <f>IF(93&lt;=Calculator!C9,EDATE(Calculator!C10,93-1),"")</f>
        <v>49004</v>
      </c>
      <c r="D99" s="28">
        <f>IF(93&lt;=Calculator!C9,Calculator!C14,"")</f>
        <v>43391.161668276698</v>
      </c>
      <c r="E99" s="28">
        <f>IF(93&lt;=Calculator!C9,G98*Calculator!C11,"")</f>
        <v>28125.318717778569</v>
      </c>
      <c r="F99" s="28">
        <f>IF(93&lt;=Calculator!C9,D99-E99,"")</f>
        <v>15265.842950498129</v>
      </c>
      <c r="G99" s="28">
        <f>IF(93&lt;=Calculator!C9,G98-F99,"")</f>
        <v>3955367.3877947112</v>
      </c>
    </row>
    <row r="100" spans="2:7" x14ac:dyDescent="0.25">
      <c r="B100" s="29">
        <f>IF(94&lt;=Calculator!C9,94,"")</f>
        <v>94</v>
      </c>
      <c r="C100" s="30">
        <f>IF(94&lt;=Calculator!C9,EDATE(Calculator!C10,94-1),"")</f>
        <v>49035</v>
      </c>
      <c r="D100" s="31">
        <f>IF(94&lt;=Calculator!C9,Calculator!C14,"")</f>
        <v>43391.161668276698</v>
      </c>
      <c r="E100" s="31">
        <f>IF(94&lt;=Calculator!C9,G99*Calculator!C11,"")</f>
        <v>28017.185663545872</v>
      </c>
      <c r="F100" s="31">
        <f>IF(94&lt;=Calculator!C9,D100-E100,"")</f>
        <v>15373.976004730826</v>
      </c>
      <c r="G100" s="31">
        <f>IF(94&lt;=Calculator!C9,G99-F100,"")</f>
        <v>3939993.4117899803</v>
      </c>
    </row>
    <row r="101" spans="2:7" x14ac:dyDescent="0.25">
      <c r="B101" s="26">
        <f>IF(95&lt;=Calculator!C9,95,"")</f>
        <v>95</v>
      </c>
      <c r="C101" s="27">
        <f>IF(95&lt;=Calculator!C9,EDATE(Calculator!C10,95-1),"")</f>
        <v>49065</v>
      </c>
      <c r="D101" s="28">
        <f>IF(95&lt;=Calculator!C9,Calculator!C14,"")</f>
        <v>43391.161668276698</v>
      </c>
      <c r="E101" s="28">
        <f>IF(95&lt;=Calculator!C9,G100*Calculator!C11,"")</f>
        <v>27908.286666845695</v>
      </c>
      <c r="F101" s="28">
        <f>IF(95&lt;=Calculator!C9,D101-E101,"")</f>
        <v>15482.875001431003</v>
      </c>
      <c r="G101" s="28">
        <f>IF(95&lt;=Calculator!C9,G100-F101,"")</f>
        <v>3924510.5367885493</v>
      </c>
    </row>
    <row r="102" spans="2:7" x14ac:dyDescent="0.25">
      <c r="B102" s="29">
        <f>IF(96&lt;=Calculator!C9,96,"")</f>
        <v>96</v>
      </c>
      <c r="C102" s="30">
        <f>IF(96&lt;=Calculator!C9,EDATE(Calculator!C10,96-1),"")</f>
        <v>49096</v>
      </c>
      <c r="D102" s="31">
        <f>IF(96&lt;=Calculator!C9,Calculator!C14,"")</f>
        <v>43391.161668276698</v>
      </c>
      <c r="E102" s="31">
        <f>IF(96&lt;=Calculator!C9,G101*Calculator!C11,"")</f>
        <v>27798.616302252227</v>
      </c>
      <c r="F102" s="31">
        <f>IF(96&lt;=Calculator!C9,D102-E102,"")</f>
        <v>15592.545366024471</v>
      </c>
      <c r="G102" s="31">
        <f>IF(96&lt;=Calculator!C9,G101-F102,"")</f>
        <v>3908917.9914225247</v>
      </c>
    </row>
    <row r="103" spans="2:7" x14ac:dyDescent="0.25">
      <c r="B103" s="26">
        <f>IF(97&lt;=Calculator!C9,97,"")</f>
        <v>97</v>
      </c>
      <c r="C103" s="27">
        <f>IF(97&lt;=Calculator!C9,EDATE(Calculator!C10,97-1),"")</f>
        <v>49126</v>
      </c>
      <c r="D103" s="28">
        <f>IF(97&lt;=Calculator!C9,Calculator!C14,"")</f>
        <v>43391.161668276698</v>
      </c>
      <c r="E103" s="28">
        <f>IF(97&lt;=Calculator!C9,G102*Calculator!C11,"")</f>
        <v>27688.16910590955</v>
      </c>
      <c r="F103" s="28">
        <f>IF(97&lt;=Calculator!C9,D103-E103,"")</f>
        <v>15702.992562367148</v>
      </c>
      <c r="G103" s="28">
        <f>IF(97&lt;=Calculator!C9,G102-F103,"")</f>
        <v>3893214.9988601576</v>
      </c>
    </row>
    <row r="104" spans="2:7" x14ac:dyDescent="0.25">
      <c r="B104" s="29">
        <f>IF(98&lt;=Calculator!C9,98,"")</f>
        <v>98</v>
      </c>
      <c r="C104" s="30">
        <f>IF(98&lt;=Calculator!C9,EDATE(Calculator!C10,98-1),"")</f>
        <v>49157</v>
      </c>
      <c r="D104" s="31">
        <f>IF(98&lt;=Calculator!C9,Calculator!C14,"")</f>
        <v>43391.161668276698</v>
      </c>
      <c r="E104" s="31">
        <f>IF(98&lt;=Calculator!C9,G103*Calculator!C11,"")</f>
        <v>27576.93957525945</v>
      </c>
      <c r="F104" s="31">
        <f>IF(98&lt;=Calculator!C9,D104-E104,"")</f>
        <v>15814.222093017248</v>
      </c>
      <c r="G104" s="31">
        <f>IF(98&lt;=Calculator!C9,G103-F104,"")</f>
        <v>3877400.7767671403</v>
      </c>
    </row>
    <row r="105" spans="2:7" x14ac:dyDescent="0.25">
      <c r="B105" s="26">
        <f>IF(99&lt;=Calculator!C9,99,"")</f>
        <v>99</v>
      </c>
      <c r="C105" s="27">
        <f>IF(99&lt;=Calculator!C9,EDATE(Calculator!C10,99-1),"")</f>
        <v>49188</v>
      </c>
      <c r="D105" s="28">
        <f>IF(99&lt;=Calculator!C9,Calculator!C14,"")</f>
        <v>43391.161668276698</v>
      </c>
      <c r="E105" s="28">
        <f>IF(99&lt;=Calculator!C9,G104*Calculator!C11,"")</f>
        <v>27464.922168767247</v>
      </c>
      <c r="F105" s="28">
        <f>IF(99&lt;=Calculator!C9,D105-E105,"")</f>
        <v>15926.239499509451</v>
      </c>
      <c r="G105" s="28">
        <f>IF(99&lt;=Calculator!C9,G104-F105,"")</f>
        <v>3861474.5372676309</v>
      </c>
    </row>
    <row r="106" spans="2:7" x14ac:dyDescent="0.25">
      <c r="B106" s="29">
        <f>IF(100&lt;=Calculator!C9,100,"")</f>
        <v>100</v>
      </c>
      <c r="C106" s="30">
        <f>IF(100&lt;=Calculator!C9,EDATE(Calculator!C10,100-1),"")</f>
        <v>49218</v>
      </c>
      <c r="D106" s="31">
        <f>IF(100&lt;=Calculator!C9,Calculator!C14,"")</f>
        <v>43391.161668276698</v>
      </c>
      <c r="E106" s="31">
        <f>IF(100&lt;=Calculator!C9,G105*Calculator!C11,"")</f>
        <v>27352.111305645722</v>
      </c>
      <c r="F106" s="31">
        <f>IF(100&lt;=Calculator!C9,D106-E106,"")</f>
        <v>16039.050362630976</v>
      </c>
      <c r="G106" s="31">
        <f>IF(100&lt;=Calculator!C9,G105-F106,"")</f>
        <v>3845435.4869050002</v>
      </c>
    </row>
    <row r="107" spans="2:7" x14ac:dyDescent="0.25">
      <c r="B107" s="26">
        <f>IF(101&lt;=Calculator!C9,101,"")</f>
        <v>101</v>
      </c>
      <c r="C107" s="27">
        <f>IF(101&lt;=Calculator!C9,EDATE(Calculator!C10,101-1),"")</f>
        <v>49249</v>
      </c>
      <c r="D107" s="28">
        <f>IF(101&lt;=Calculator!C9,Calculator!C14,"")</f>
        <v>43391.161668276698</v>
      </c>
      <c r="E107" s="28">
        <f>IF(101&lt;=Calculator!C9,G106*Calculator!C11,"")</f>
        <v>27238.501365577085</v>
      </c>
      <c r="F107" s="28">
        <f>IF(101&lt;=Calculator!C9,D107-E107,"")</f>
        <v>16152.660302699613</v>
      </c>
      <c r="G107" s="28">
        <f>IF(101&lt;=Calculator!C9,G106-F107,"")</f>
        <v>3829282.8266023006</v>
      </c>
    </row>
    <row r="108" spans="2:7" x14ac:dyDescent="0.25">
      <c r="B108" s="29">
        <f>IF(102&lt;=Calculator!C9,102,"")</f>
        <v>102</v>
      </c>
      <c r="C108" s="30">
        <f>IF(102&lt;=Calculator!C9,EDATE(Calculator!C10,102-1),"")</f>
        <v>49279</v>
      </c>
      <c r="D108" s="31">
        <f>IF(102&lt;=Calculator!C9,Calculator!C14,"")</f>
        <v>43391.161668276698</v>
      </c>
      <c r="E108" s="31">
        <f>IF(102&lt;=Calculator!C9,G107*Calculator!C11,"")</f>
        <v>27124.086688432966</v>
      </c>
      <c r="F108" s="31">
        <f>IF(102&lt;=Calculator!C9,D108-E108,"")</f>
        <v>16267.074979843732</v>
      </c>
      <c r="G108" s="31">
        <f>IF(102&lt;=Calculator!C9,G107-F108,"")</f>
        <v>3813015.7516224571</v>
      </c>
    </row>
    <row r="109" spans="2:7" x14ac:dyDescent="0.25">
      <c r="B109" s="26">
        <f>IF(103&lt;=Calculator!C9,103,"")</f>
        <v>103</v>
      </c>
      <c r="C109" s="27">
        <f>IF(103&lt;=Calculator!C9,EDATE(Calculator!C10,103-1),"")</f>
        <v>49310</v>
      </c>
      <c r="D109" s="28">
        <f>IF(103&lt;=Calculator!C9,Calculator!C14,"")</f>
        <v>43391.161668276698</v>
      </c>
      <c r="E109" s="28">
        <f>IF(103&lt;=Calculator!C9,G108*Calculator!C11,"")</f>
        <v>27008.861573992406</v>
      </c>
      <c r="F109" s="28">
        <f>IF(103&lt;=Calculator!C9,D109-E109,"")</f>
        <v>16382.300094284292</v>
      </c>
      <c r="G109" s="28">
        <f>IF(103&lt;=Calculator!C9,G108-F109,"")</f>
        <v>3796633.4515281729</v>
      </c>
    </row>
    <row r="110" spans="2:7" x14ac:dyDescent="0.25">
      <c r="B110" s="29">
        <f>IF(104&lt;=Calculator!C9,104,"")</f>
        <v>104</v>
      </c>
      <c r="C110" s="30">
        <f>IF(104&lt;=Calculator!C9,EDATE(Calculator!C10,104-1),"")</f>
        <v>49341</v>
      </c>
      <c r="D110" s="31">
        <f>IF(104&lt;=Calculator!C9,Calculator!C14,"")</f>
        <v>43391.161668276698</v>
      </c>
      <c r="E110" s="31">
        <f>IF(104&lt;=Calculator!C9,G109*Calculator!C11,"")</f>
        <v>26892.820281657892</v>
      </c>
      <c r="F110" s="31">
        <f>IF(104&lt;=Calculator!C9,D110-E110,"")</f>
        <v>16498.341386618806</v>
      </c>
      <c r="G110" s="31">
        <f>IF(104&lt;=Calculator!C9,G109-F110,"")</f>
        <v>3780135.1101415539</v>
      </c>
    </row>
    <row r="111" spans="2:7" x14ac:dyDescent="0.25">
      <c r="B111" s="26">
        <f>IF(105&lt;=Calculator!C9,105,"")</f>
        <v>105</v>
      </c>
      <c r="C111" s="27">
        <f>IF(105&lt;=Calculator!C9,EDATE(Calculator!C10,105-1),"")</f>
        <v>49369</v>
      </c>
      <c r="D111" s="28">
        <f>IF(105&lt;=Calculator!C9,Calculator!C14,"")</f>
        <v>43391.161668276698</v>
      </c>
      <c r="E111" s="28">
        <f>IF(105&lt;=Calculator!C9,G110*Calculator!C11,"")</f>
        <v>26775.957030169342</v>
      </c>
      <c r="F111" s="28">
        <f>IF(105&lt;=Calculator!C9,D111-E111,"")</f>
        <v>16615.204638107356</v>
      </c>
      <c r="G111" s="28">
        <f>IF(105&lt;=Calculator!C9,G110-F111,"")</f>
        <v>3763519.9055034467</v>
      </c>
    </row>
    <row r="112" spans="2:7" x14ac:dyDescent="0.25">
      <c r="B112" s="29">
        <f>IF(106&lt;=Calculator!C9,106,"")</f>
        <v>106</v>
      </c>
      <c r="C112" s="30">
        <f>IF(106&lt;=Calculator!C9,EDATE(Calculator!C10,106-1),"")</f>
        <v>49400</v>
      </c>
      <c r="D112" s="31">
        <f>IF(106&lt;=Calculator!C9,Calculator!C14,"")</f>
        <v>43391.161668276698</v>
      </c>
      <c r="E112" s="31">
        <f>IF(106&lt;=Calculator!C9,G111*Calculator!C11,"")</f>
        <v>26658.265997316084</v>
      </c>
      <c r="F112" s="31">
        <f>IF(106&lt;=Calculator!C9,D112-E112,"")</f>
        <v>16732.895670960614</v>
      </c>
      <c r="G112" s="31">
        <f>IF(106&lt;=Calculator!C9,G111-F112,"")</f>
        <v>3746787.009832486</v>
      </c>
    </row>
    <row r="113" spans="2:7" x14ac:dyDescent="0.25">
      <c r="B113" s="26">
        <f>IF(107&lt;=Calculator!C9,107,"")</f>
        <v>107</v>
      </c>
      <c r="C113" s="27">
        <f>IF(107&lt;=Calculator!C9,EDATE(Calculator!C10,107-1),"")</f>
        <v>49430</v>
      </c>
      <c r="D113" s="28">
        <f>IF(107&lt;=Calculator!C9,Calculator!C14,"")</f>
        <v>43391.161668276698</v>
      </c>
      <c r="E113" s="28">
        <f>IF(107&lt;=Calculator!C9,G112*Calculator!C11,"")</f>
        <v>26539.741319646779</v>
      </c>
      <c r="F113" s="28">
        <f>IF(107&lt;=Calculator!C9,D113-E113,"")</f>
        <v>16851.420348629919</v>
      </c>
      <c r="G113" s="28">
        <f>IF(107&lt;=Calculator!C9,G112-F113,"")</f>
        <v>3729935.5894838562</v>
      </c>
    </row>
    <row r="114" spans="2:7" x14ac:dyDescent="0.25">
      <c r="B114" s="29">
        <f>IF(108&lt;=Calculator!C9,108,"")</f>
        <v>108</v>
      </c>
      <c r="C114" s="30">
        <f>IF(108&lt;=Calculator!C9,EDATE(Calculator!C10,108-1),"")</f>
        <v>49461</v>
      </c>
      <c r="D114" s="31">
        <f>IF(108&lt;=Calculator!C9,Calculator!C14,"")</f>
        <v>43391.161668276698</v>
      </c>
      <c r="E114" s="31">
        <f>IF(108&lt;=Calculator!C9,G113*Calculator!C11,"")</f>
        <v>26420.377092177318</v>
      </c>
      <c r="F114" s="31">
        <f>IF(108&lt;=Calculator!C9,D114-E114,"")</f>
        <v>16970.784576099381</v>
      </c>
      <c r="G114" s="31">
        <f>IF(108&lt;=Calculator!C9,G113-F114,"")</f>
        <v>3712964.8049077569</v>
      </c>
    </row>
    <row r="115" spans="2:7" x14ac:dyDescent="0.25">
      <c r="B115" s="26">
        <f>IF(109&lt;=Calculator!C9,109,"")</f>
        <v>109</v>
      </c>
      <c r="C115" s="27">
        <f>IF(109&lt;=Calculator!C9,EDATE(Calculator!C10,109-1),"")</f>
        <v>49491</v>
      </c>
      <c r="D115" s="28">
        <f>IF(109&lt;=Calculator!C9,Calculator!C14,"")</f>
        <v>43391.161668276698</v>
      </c>
      <c r="E115" s="28">
        <f>IF(109&lt;=Calculator!C9,G114*Calculator!C11,"")</f>
        <v>26300.167368096612</v>
      </c>
      <c r="F115" s="28">
        <f>IF(109&lt;=Calculator!C9,D115-E115,"")</f>
        <v>17090.994300180086</v>
      </c>
      <c r="G115" s="28">
        <f>IF(109&lt;=Calculator!C9,G114-F115,"")</f>
        <v>3695873.8106075767</v>
      </c>
    </row>
    <row r="116" spans="2:7" x14ac:dyDescent="0.25">
      <c r="B116" s="29">
        <f>IF(110&lt;=Calculator!C9,110,"")</f>
        <v>110</v>
      </c>
      <c r="C116" s="30">
        <f>IF(110&lt;=Calculator!C9,EDATE(Calculator!C10,110-1),"")</f>
        <v>49522</v>
      </c>
      <c r="D116" s="31">
        <f>IF(110&lt;=Calculator!C9,Calculator!C14,"")</f>
        <v>43391.161668276698</v>
      </c>
      <c r="E116" s="31">
        <f>IF(110&lt;=Calculator!C9,G115*Calculator!C11,"")</f>
        <v>26179.106158470338</v>
      </c>
      <c r="F116" s="31">
        <f>IF(110&lt;=Calculator!C9,D116-E116,"")</f>
        <v>17212.05550980636</v>
      </c>
      <c r="G116" s="31">
        <f>IF(110&lt;=Calculator!C9,G115-F116,"")</f>
        <v>3678661.7550977706</v>
      </c>
    </row>
    <row r="117" spans="2:7" x14ac:dyDescent="0.25">
      <c r="B117" s="26">
        <f>IF(111&lt;=Calculator!C9,111,"")</f>
        <v>111</v>
      </c>
      <c r="C117" s="27">
        <f>IF(111&lt;=Calculator!C9,EDATE(Calculator!C10,111-1),"")</f>
        <v>49553</v>
      </c>
      <c r="D117" s="28">
        <f>IF(111&lt;=Calculator!C9,Calculator!C14,"")</f>
        <v>43391.161668276698</v>
      </c>
      <c r="E117" s="28">
        <f>IF(111&lt;=Calculator!C9,G116*Calculator!C11,"")</f>
        <v>26057.187431942544</v>
      </c>
      <c r="F117" s="28">
        <f>IF(111&lt;=Calculator!C9,D117-E117,"")</f>
        <v>17333.974236334154</v>
      </c>
      <c r="G117" s="28">
        <f>IF(111&lt;=Calculator!C9,G116-F117,"")</f>
        <v>3661327.7808614364</v>
      </c>
    </row>
    <row r="118" spans="2:7" x14ac:dyDescent="0.25">
      <c r="B118" s="29">
        <f>IF(112&lt;=Calculator!C9,112,"")</f>
        <v>112</v>
      </c>
      <c r="C118" s="30">
        <f>IF(112&lt;=Calculator!C9,EDATE(Calculator!C10,112-1),"")</f>
        <v>49583</v>
      </c>
      <c r="D118" s="31">
        <f>IF(112&lt;=Calculator!C9,Calculator!C14,"")</f>
        <v>43391.161668276698</v>
      </c>
      <c r="E118" s="31">
        <f>IF(112&lt;=Calculator!C9,G117*Calculator!C11,"")</f>
        <v>25934.405114435176</v>
      </c>
      <c r="F118" s="31">
        <f>IF(112&lt;=Calculator!C9,D118-E118,"")</f>
        <v>17456.756553841522</v>
      </c>
      <c r="G118" s="31">
        <f>IF(112&lt;=Calculator!C9,G117-F118,"")</f>
        <v>3643871.0243075946</v>
      </c>
    </row>
    <row r="119" spans="2:7" x14ac:dyDescent="0.25">
      <c r="B119" s="26">
        <f>IF(113&lt;=Calculator!C9,113,"")</f>
        <v>113</v>
      </c>
      <c r="C119" s="27">
        <f>IF(113&lt;=Calculator!C9,EDATE(Calculator!C10,113-1),"")</f>
        <v>49614</v>
      </c>
      <c r="D119" s="28">
        <f>IF(113&lt;=Calculator!C9,Calculator!C14,"")</f>
        <v>43391.161668276698</v>
      </c>
      <c r="E119" s="28">
        <f>IF(113&lt;=Calculator!C9,G118*Calculator!C11,"")</f>
        <v>25810.753088845464</v>
      </c>
      <c r="F119" s="28">
        <f>IF(113&lt;=Calculator!C9,D119-E119,"")</f>
        <v>17580.408579431234</v>
      </c>
      <c r="G119" s="28">
        <f>IF(113&lt;=Calculator!C9,G118-F119,"")</f>
        <v>3626290.6157281636</v>
      </c>
    </row>
    <row r="120" spans="2:7" x14ac:dyDescent="0.25">
      <c r="B120" s="29">
        <f>IF(114&lt;=Calculator!C9,114,"")</f>
        <v>114</v>
      </c>
      <c r="C120" s="30">
        <f>IF(114&lt;=Calculator!C9,EDATE(Calculator!C10,114-1),"")</f>
        <v>49644</v>
      </c>
      <c r="D120" s="31">
        <f>IF(114&lt;=Calculator!C9,Calculator!C14,"")</f>
        <v>43391.161668276698</v>
      </c>
      <c r="E120" s="31">
        <f>IF(114&lt;=Calculator!C9,G119*Calculator!C11,"")</f>
        <v>25686.225194741161</v>
      </c>
      <c r="F120" s="31">
        <f>IF(114&lt;=Calculator!C9,D120-E120,"")</f>
        <v>17704.936473535538</v>
      </c>
      <c r="G120" s="31">
        <f>IF(114&lt;=Calculator!C9,G119-F120,"")</f>
        <v>3608585.6792546283</v>
      </c>
    </row>
    <row r="121" spans="2:7" x14ac:dyDescent="0.25">
      <c r="B121" s="26">
        <f>IF(115&lt;=Calculator!C9,115,"")</f>
        <v>115</v>
      </c>
      <c r="C121" s="27">
        <f>IF(115&lt;=Calculator!C9,EDATE(Calculator!C10,115-1),"")</f>
        <v>49675</v>
      </c>
      <c r="D121" s="28">
        <f>IF(115&lt;=Calculator!C9,Calculator!C14,"")</f>
        <v>43391.161668276698</v>
      </c>
      <c r="E121" s="28">
        <f>IF(115&lt;=Calculator!C9,G120*Calculator!C11,"")</f>
        <v>25560.81522805362</v>
      </c>
      <c r="F121" s="28">
        <f>IF(115&lt;=Calculator!C9,D121-E121,"")</f>
        <v>17830.346440223078</v>
      </c>
      <c r="G121" s="28">
        <f>IF(115&lt;=Calculator!C9,G120-F121,"")</f>
        <v>3590755.3328144052</v>
      </c>
    </row>
    <row r="122" spans="2:7" x14ac:dyDescent="0.25">
      <c r="B122" s="29">
        <f>IF(116&lt;=Calculator!C9,116,"")</f>
        <v>116</v>
      </c>
      <c r="C122" s="30">
        <f>IF(116&lt;=Calculator!C9,EDATE(Calculator!C10,116-1),"")</f>
        <v>49706</v>
      </c>
      <c r="D122" s="31">
        <f>IF(116&lt;=Calculator!C9,Calculator!C14,"")</f>
        <v>43391.161668276698</v>
      </c>
      <c r="E122" s="31">
        <f>IF(116&lt;=Calculator!C9,G121*Calculator!C11,"")</f>
        <v>25434.516940768706</v>
      </c>
      <c r="F122" s="31">
        <f>IF(116&lt;=Calculator!C9,D122-E122,"")</f>
        <v>17956.644727507992</v>
      </c>
      <c r="G122" s="31">
        <f>IF(116&lt;=Calculator!C9,G121-F122,"")</f>
        <v>3572798.6880868971</v>
      </c>
    </row>
    <row r="123" spans="2:7" x14ac:dyDescent="0.25">
      <c r="B123" s="26">
        <f>IF(117&lt;=Calculator!C9,117,"")</f>
        <v>117</v>
      </c>
      <c r="C123" s="27">
        <f>IF(117&lt;=Calculator!C9,EDATE(Calculator!C10,117-1),"")</f>
        <v>49735</v>
      </c>
      <c r="D123" s="28">
        <f>IF(117&lt;=Calculator!C9,Calculator!C14,"")</f>
        <v>43391.161668276698</v>
      </c>
      <c r="E123" s="28">
        <f>IF(117&lt;=Calculator!C9,G122*Calculator!C11,"")</f>
        <v>25307.324040615524</v>
      </c>
      <c r="F123" s="28">
        <f>IF(117&lt;=Calculator!C9,D123-E123,"")</f>
        <v>18083.837627661174</v>
      </c>
      <c r="G123" s="28">
        <f>IF(117&lt;=Calculator!C9,G122-F123,"")</f>
        <v>3554714.8504592362</v>
      </c>
    </row>
    <row r="124" spans="2:7" x14ac:dyDescent="0.25">
      <c r="B124" s="29">
        <f>IF(118&lt;=Calculator!C9,118,"")</f>
        <v>118</v>
      </c>
      <c r="C124" s="30">
        <f>IF(118&lt;=Calculator!C9,EDATE(Calculator!C10,118-1),"")</f>
        <v>49766</v>
      </c>
      <c r="D124" s="31">
        <f>IF(118&lt;=Calculator!C9,Calculator!C14,"")</f>
        <v>43391.161668276698</v>
      </c>
      <c r="E124" s="31">
        <f>IF(118&lt;=Calculator!C9,G123*Calculator!C11,"")</f>
        <v>25179.230190752925</v>
      </c>
      <c r="F124" s="31">
        <f>IF(118&lt;=Calculator!C9,D124-E124,"")</f>
        <v>18211.931477523773</v>
      </c>
      <c r="G124" s="31">
        <f>IF(118&lt;=Calculator!C9,G123-F124,"")</f>
        <v>3536502.9189817123</v>
      </c>
    </row>
    <row r="125" spans="2:7" x14ac:dyDescent="0.25">
      <c r="B125" s="26">
        <f>IF(119&lt;=Calculator!C9,119,"")</f>
        <v>119</v>
      </c>
      <c r="C125" s="27">
        <f>IF(119&lt;=Calculator!C9,EDATE(Calculator!C10,119-1),"")</f>
        <v>49796</v>
      </c>
      <c r="D125" s="28">
        <f>IF(119&lt;=Calculator!C9,Calculator!C14,"")</f>
        <v>43391.161668276698</v>
      </c>
      <c r="E125" s="28">
        <f>IF(119&lt;=Calculator!C9,G124*Calculator!C11,"")</f>
        <v>25050.229009453797</v>
      </c>
      <c r="F125" s="28">
        <f>IF(119&lt;=Calculator!C9,D125-E125,"")</f>
        <v>18340.932658822901</v>
      </c>
      <c r="G125" s="28">
        <f>IF(119&lt;=Calculator!C9,G124-F125,"")</f>
        <v>3518161.9863228896</v>
      </c>
    </row>
    <row r="126" spans="2:7" x14ac:dyDescent="0.25">
      <c r="B126" s="29">
        <f>IF(120&lt;=Calculator!C9,120,"")</f>
        <v>120</v>
      </c>
      <c r="C126" s="30">
        <f>IF(120&lt;=Calculator!C9,EDATE(Calculator!C10,120-1),"")</f>
        <v>49827</v>
      </c>
      <c r="D126" s="31">
        <f>IF(120&lt;=Calculator!C9,Calculator!C14,"")</f>
        <v>43391.161668276698</v>
      </c>
      <c r="E126" s="31">
        <f>IF(120&lt;=Calculator!C9,G125*Calculator!C11,"")</f>
        <v>24920.314069787135</v>
      </c>
      <c r="F126" s="31">
        <f>IF(120&lt;=Calculator!C9,D126-E126,"")</f>
        <v>18470.847598489563</v>
      </c>
      <c r="G126" s="31">
        <f>IF(120&lt;=Calculator!C9,G125-F126,"")</f>
        <v>3499691.1387244002</v>
      </c>
    </row>
    <row r="127" spans="2:7" x14ac:dyDescent="0.25">
      <c r="B127" s="26">
        <f>IF(121&lt;=Calculator!C9,121,"")</f>
        <v>121</v>
      </c>
      <c r="C127" s="27">
        <f>IF(121&lt;=Calculator!C9,EDATE(Calculator!C10,121-1),"")</f>
        <v>49857</v>
      </c>
      <c r="D127" s="28">
        <f>IF(121&lt;=Calculator!C9,Calculator!C14,"")</f>
        <v>43391.161668276698</v>
      </c>
      <c r="E127" s="28">
        <f>IF(121&lt;=Calculator!C9,G126*Calculator!C11,"")</f>
        <v>24789.478899297836</v>
      </c>
      <c r="F127" s="28">
        <f>IF(121&lt;=Calculator!C9,D127-E127,"")</f>
        <v>18601.682768978862</v>
      </c>
      <c r="G127" s="28">
        <f>IF(121&lt;=Calculator!C9,G126-F127,"")</f>
        <v>3481089.4559554216</v>
      </c>
    </row>
    <row r="128" spans="2:7" x14ac:dyDescent="0.25">
      <c r="B128" s="29">
        <f>IF(122&lt;=Calculator!C9,122,"")</f>
        <v>122</v>
      </c>
      <c r="C128" s="30">
        <f>IF(122&lt;=Calculator!C9,EDATE(Calculator!C10,122-1),"")</f>
        <v>49888</v>
      </c>
      <c r="D128" s="31">
        <f>IF(122&lt;=Calculator!C9,Calculator!C14,"")</f>
        <v>43391.161668276698</v>
      </c>
      <c r="E128" s="31">
        <f>IF(122&lt;=Calculator!C9,G127*Calculator!C11,"")</f>
        <v>24657.716979684239</v>
      </c>
      <c r="F128" s="31">
        <f>IF(122&lt;=Calculator!C9,D128-E128,"")</f>
        <v>18733.444688592459</v>
      </c>
      <c r="G128" s="31">
        <f>IF(122&lt;=Calculator!C9,G127-F128,"")</f>
        <v>3462356.011266829</v>
      </c>
    </row>
    <row r="129" spans="2:7" x14ac:dyDescent="0.25">
      <c r="B129" s="26">
        <f>IF(123&lt;=Calculator!C9,123,"")</f>
        <v>123</v>
      </c>
      <c r="C129" s="27">
        <f>IF(123&lt;=Calculator!C9,EDATE(Calculator!C10,123-1),"")</f>
        <v>49919</v>
      </c>
      <c r="D129" s="28">
        <f>IF(123&lt;=Calculator!C9,Calculator!C14,"")</f>
        <v>43391.161668276698</v>
      </c>
      <c r="E129" s="28">
        <f>IF(123&lt;=Calculator!C9,G128*Calculator!C11,"")</f>
        <v>24525.021746473372</v>
      </c>
      <c r="F129" s="28">
        <f>IF(123&lt;=Calculator!C9,D129-E129,"")</f>
        <v>18866.139921803326</v>
      </c>
      <c r="G129" s="28">
        <f>IF(123&lt;=Calculator!C9,G128-F129,"")</f>
        <v>3443489.8713450255</v>
      </c>
    </row>
    <row r="130" spans="2:7" x14ac:dyDescent="0.25">
      <c r="B130" s="29">
        <f>IF(124&lt;=Calculator!C9,124,"")</f>
        <v>124</v>
      </c>
      <c r="C130" s="30">
        <f>IF(124&lt;=Calculator!C9,EDATE(Calculator!C10,124-1),"")</f>
        <v>49949</v>
      </c>
      <c r="D130" s="31">
        <f>IF(124&lt;=Calculator!C9,Calculator!C14,"")</f>
        <v>43391.161668276698</v>
      </c>
      <c r="E130" s="31">
        <f>IF(124&lt;=Calculator!C9,G129*Calculator!C11,"")</f>
        <v>24391.386588693931</v>
      </c>
      <c r="F130" s="31">
        <f>IF(124&lt;=Calculator!C9,D130-E130,"")</f>
        <v>18999.775079582767</v>
      </c>
      <c r="G130" s="31">
        <f>IF(124&lt;=Calculator!C9,G129-F130,"")</f>
        <v>3424490.0962654427</v>
      </c>
    </row>
    <row r="131" spans="2:7" x14ac:dyDescent="0.25">
      <c r="B131" s="26">
        <f>IF(125&lt;=Calculator!C9,125,"")</f>
        <v>125</v>
      </c>
      <c r="C131" s="27">
        <f>IF(125&lt;=Calculator!C9,EDATE(Calculator!C10,125-1),"")</f>
        <v>49980</v>
      </c>
      <c r="D131" s="28">
        <f>IF(125&lt;=Calculator!C9,Calculator!C14,"")</f>
        <v>43391.161668276698</v>
      </c>
      <c r="E131" s="28">
        <f>IF(125&lt;=Calculator!C9,G130*Calculator!C11,"")</f>
        <v>24256.804848546886</v>
      </c>
      <c r="F131" s="28">
        <f>IF(125&lt;=Calculator!C9,D131-E131,"")</f>
        <v>19134.356819729812</v>
      </c>
      <c r="G131" s="28">
        <f>IF(125&lt;=Calculator!C9,G130-F131,"")</f>
        <v>3405355.7394457129</v>
      </c>
    </row>
    <row r="132" spans="2:7" x14ac:dyDescent="0.25">
      <c r="B132" s="29">
        <f>IF(126&lt;=Calculator!C9,126,"")</f>
        <v>126</v>
      </c>
      <c r="C132" s="30">
        <f>IF(126&lt;=Calculator!C9,EDATE(Calculator!C10,126-1),"")</f>
        <v>50010</v>
      </c>
      <c r="D132" s="31">
        <f>IF(126&lt;=Calculator!C9,Calculator!C14,"")</f>
        <v>43391.161668276698</v>
      </c>
      <c r="E132" s="31">
        <f>IF(126&lt;=Calculator!C9,G131*Calculator!C11,"")</f>
        <v>24121.269821073802</v>
      </c>
      <c r="F132" s="31">
        <f>IF(126&lt;=Calculator!C9,D132-E132,"")</f>
        <v>19269.891847202896</v>
      </c>
      <c r="G132" s="31">
        <f>IF(126&lt;=Calculator!C9,G131-F132,"")</f>
        <v>3386085.8475985099</v>
      </c>
    </row>
    <row r="133" spans="2:7" x14ac:dyDescent="0.25">
      <c r="B133" s="26">
        <f>IF(127&lt;=Calculator!C9,127,"")</f>
        <v>127</v>
      </c>
      <c r="C133" s="27">
        <f>IF(127&lt;=Calculator!C9,EDATE(Calculator!C10,127-1),"")</f>
        <v>50041</v>
      </c>
      <c r="D133" s="28">
        <f>IF(127&lt;=Calculator!C9,Calculator!C14,"")</f>
        <v>43391.161668276698</v>
      </c>
      <c r="E133" s="28">
        <f>IF(127&lt;=Calculator!C9,G132*Calculator!C11,"")</f>
        <v>23984.774753822781</v>
      </c>
      <c r="F133" s="28">
        <f>IF(127&lt;=Calculator!C9,D133-E133,"")</f>
        <v>19406.386914453917</v>
      </c>
      <c r="G133" s="28">
        <f>IF(127&lt;=Calculator!C9,G132-F133,"")</f>
        <v>3366679.4606840559</v>
      </c>
    </row>
    <row r="134" spans="2:7" x14ac:dyDescent="0.25">
      <c r="B134" s="29">
        <f>IF(128&lt;=Calculator!C9,128,"")</f>
        <v>128</v>
      </c>
      <c r="C134" s="30">
        <f>IF(128&lt;=Calculator!C9,EDATE(Calculator!C10,128-1),"")</f>
        <v>50072</v>
      </c>
      <c r="D134" s="31">
        <f>IF(128&lt;=Calculator!C9,Calculator!C14,"")</f>
        <v>43391.161668276698</v>
      </c>
      <c r="E134" s="31">
        <f>IF(128&lt;=Calculator!C9,G133*Calculator!C11,"")</f>
        <v>23847.312846512064</v>
      </c>
      <c r="F134" s="31">
        <f>IF(128&lt;=Calculator!C9,D134-E134,"")</f>
        <v>19543.848821764634</v>
      </c>
      <c r="G134" s="31">
        <f>IF(128&lt;=Calculator!C9,G133-F134,"")</f>
        <v>3347135.6118622911</v>
      </c>
    </row>
    <row r="135" spans="2:7" x14ac:dyDescent="0.25">
      <c r="B135" s="26">
        <f>IF(129&lt;=Calculator!C9,129,"")</f>
        <v>129</v>
      </c>
      <c r="C135" s="27">
        <f>IF(129&lt;=Calculator!C9,EDATE(Calculator!C10,129-1),"")</f>
        <v>50100</v>
      </c>
      <c r="D135" s="28">
        <f>IF(129&lt;=Calculator!C9,Calculator!C14,"")</f>
        <v>43391.161668276698</v>
      </c>
      <c r="E135" s="28">
        <f>IF(129&lt;=Calculator!C9,G134*Calculator!C11,"")</f>
        <v>23708.877250691232</v>
      </c>
      <c r="F135" s="28">
        <f>IF(129&lt;=Calculator!C9,D135-E135,"")</f>
        <v>19682.284417585466</v>
      </c>
      <c r="G135" s="28">
        <f>IF(129&lt;=Calculator!C9,G134-F135,"")</f>
        <v>3327453.3274447056</v>
      </c>
    </row>
    <row r="136" spans="2:7" x14ac:dyDescent="0.25">
      <c r="B136" s="29">
        <f>IF(130&lt;=Calculator!C9,130,"")</f>
        <v>130</v>
      </c>
      <c r="C136" s="30">
        <f>IF(130&lt;=Calculator!C9,EDATE(Calculator!C10,130-1),"")</f>
        <v>50131</v>
      </c>
      <c r="D136" s="31">
        <f>IF(130&lt;=Calculator!C9,Calculator!C14,"")</f>
        <v>43391.161668276698</v>
      </c>
      <c r="E136" s="31">
        <f>IF(130&lt;=Calculator!C9,G135*Calculator!C11,"")</f>
        <v>23569.4610694</v>
      </c>
      <c r="F136" s="31">
        <f>IF(130&lt;=Calculator!C9,D136-E136,"")</f>
        <v>19821.700598876698</v>
      </c>
      <c r="G136" s="31">
        <f>IF(130&lt;=Calculator!C9,G135-F136,"")</f>
        <v>3307631.6268458287</v>
      </c>
    </row>
    <row r="137" spans="2:7" x14ac:dyDescent="0.25">
      <c r="B137" s="26">
        <f>IF(131&lt;=Calculator!C9,131,"")</f>
        <v>131</v>
      </c>
      <c r="C137" s="27">
        <f>IF(131&lt;=Calculator!C9,EDATE(Calculator!C10,131-1),"")</f>
        <v>50161</v>
      </c>
      <c r="D137" s="28">
        <f>IF(131&lt;=Calculator!C9,Calculator!C14,"")</f>
        <v>43391.161668276698</v>
      </c>
      <c r="E137" s="28">
        <f>IF(131&lt;=Calculator!C9,G136*Calculator!C11,"")</f>
        <v>23429.057356824622</v>
      </c>
      <c r="F137" s="28">
        <f>IF(131&lt;=Calculator!C9,D137-E137,"")</f>
        <v>19962.104311452076</v>
      </c>
      <c r="G137" s="28">
        <f>IF(131&lt;=Calculator!C9,G136-F137,"")</f>
        <v>3287669.5225343765</v>
      </c>
    </row>
    <row r="138" spans="2:7" x14ac:dyDescent="0.25">
      <c r="B138" s="29">
        <f>IF(132&lt;=Calculator!C9,132,"")</f>
        <v>132</v>
      </c>
      <c r="C138" s="30">
        <f>IF(132&lt;=Calculator!C9,EDATE(Calculator!C10,132-1),"")</f>
        <v>50192</v>
      </c>
      <c r="D138" s="31">
        <f>IF(132&lt;=Calculator!C9,Calculator!C14,"")</f>
        <v>43391.161668276698</v>
      </c>
      <c r="E138" s="31">
        <f>IF(132&lt;=Calculator!C9,G137*Calculator!C11,"")</f>
        <v>23287.659117951836</v>
      </c>
      <c r="F138" s="31">
        <f>IF(132&lt;=Calculator!C9,D138-E138,"")</f>
        <v>20103.502550324862</v>
      </c>
      <c r="G138" s="31">
        <f>IF(132&lt;=Calculator!C9,G137-F138,"")</f>
        <v>3267566.0199840516</v>
      </c>
    </row>
    <row r="139" spans="2:7" x14ac:dyDescent="0.25">
      <c r="B139" s="26">
        <f>IF(133&lt;=Calculator!C9,133,"")</f>
        <v>133</v>
      </c>
      <c r="C139" s="27">
        <f>IF(133&lt;=Calculator!C9,EDATE(Calculator!C10,133-1),"")</f>
        <v>50222</v>
      </c>
      <c r="D139" s="28">
        <f>IF(133&lt;=Calculator!C9,Calculator!C14,"")</f>
        <v>43391.161668276698</v>
      </c>
      <c r="E139" s="28">
        <f>IF(133&lt;=Calculator!C9,G138*Calculator!C11,"")</f>
        <v>23145.259308220368</v>
      </c>
      <c r="F139" s="28">
        <f>IF(133&lt;=Calculator!C9,D139-E139,"")</f>
        <v>20245.902360056331</v>
      </c>
      <c r="G139" s="28">
        <f>IF(133&lt;=Calculator!C9,G138-F139,"")</f>
        <v>3247320.1176239951</v>
      </c>
    </row>
    <row r="140" spans="2:7" x14ac:dyDescent="0.25">
      <c r="B140" s="29">
        <f>IF(134&lt;=Calculator!C9,134,"")</f>
        <v>134</v>
      </c>
      <c r="C140" s="30">
        <f>IF(134&lt;=Calculator!C9,EDATE(Calculator!C10,134-1),"")</f>
        <v>50253</v>
      </c>
      <c r="D140" s="31">
        <f>IF(134&lt;=Calculator!C9,Calculator!C14,"")</f>
        <v>43391.161668276698</v>
      </c>
      <c r="E140" s="31">
        <f>IF(134&lt;=Calculator!C9,G139*Calculator!C11,"")</f>
        <v>23001.850833169967</v>
      </c>
      <c r="F140" s="31">
        <f>IF(134&lt;=Calculator!C9,D140-E140,"")</f>
        <v>20389.310835106731</v>
      </c>
      <c r="G140" s="31">
        <f>IF(134&lt;=Calculator!C9,G139-F140,"")</f>
        <v>3226930.8067888883</v>
      </c>
    </row>
    <row r="141" spans="2:7" x14ac:dyDescent="0.25">
      <c r="B141" s="26">
        <f>IF(135&lt;=Calculator!C9,135,"")</f>
        <v>135</v>
      </c>
      <c r="C141" s="27">
        <f>IF(135&lt;=Calculator!C9,EDATE(Calculator!C10,135-1),"")</f>
        <v>50284</v>
      </c>
      <c r="D141" s="28">
        <f>IF(135&lt;=Calculator!C9,Calculator!C14,"")</f>
        <v>43391.161668276698</v>
      </c>
      <c r="E141" s="28">
        <f>IF(135&lt;=Calculator!C9,G140*Calculator!C11,"")</f>
        <v>22857.426548087962</v>
      </c>
      <c r="F141" s="28">
        <f>IF(135&lt;=Calculator!C9,D141-E141,"")</f>
        <v>20533.735120188736</v>
      </c>
      <c r="G141" s="28">
        <f>IF(135&lt;=Calculator!C9,G140-F141,"")</f>
        <v>3206397.0716686994</v>
      </c>
    </row>
    <row r="142" spans="2:7" x14ac:dyDescent="0.25">
      <c r="B142" s="29">
        <f>IF(136&lt;=Calculator!C9,136,"")</f>
        <v>136</v>
      </c>
      <c r="C142" s="30">
        <f>IF(136&lt;=Calculator!C9,EDATE(Calculator!C10,136-1),"")</f>
        <v>50314</v>
      </c>
      <c r="D142" s="31">
        <f>IF(136&lt;=Calculator!C9,Calculator!C14,"")</f>
        <v>43391.161668276698</v>
      </c>
      <c r="E142" s="31">
        <f>IF(136&lt;=Calculator!C9,G141*Calculator!C11,"")</f>
        <v>22711.979257653289</v>
      </c>
      <c r="F142" s="31">
        <f>IF(136&lt;=Calculator!C9,D142-E142,"")</f>
        <v>20679.182410623409</v>
      </c>
      <c r="G142" s="31">
        <f>IF(136&lt;=Calculator!C9,G141-F142,"")</f>
        <v>3185717.889258076</v>
      </c>
    </row>
    <row r="143" spans="2:7" x14ac:dyDescent="0.25">
      <c r="B143" s="26">
        <f>IF(137&lt;=Calculator!C9,137,"")</f>
        <v>137</v>
      </c>
      <c r="C143" s="27">
        <f>IF(137&lt;=Calculator!C9,EDATE(Calculator!C10,137-1),"")</f>
        <v>50345</v>
      </c>
      <c r="D143" s="28">
        <f>IF(137&lt;=Calculator!C9,Calculator!C14,"")</f>
        <v>43391.161668276698</v>
      </c>
      <c r="E143" s="28">
        <f>IF(137&lt;=Calculator!C9,G142*Calculator!C11,"")</f>
        <v>22565.501715578041</v>
      </c>
      <c r="F143" s="28">
        <f>IF(137&lt;=Calculator!C9,D143-E143,"")</f>
        <v>20825.659952698657</v>
      </c>
      <c r="G143" s="28">
        <f>IF(137&lt;=Calculator!C9,G142-F143,"")</f>
        <v>3164892.2293053772</v>
      </c>
    </row>
    <row r="144" spans="2:7" x14ac:dyDescent="0.25">
      <c r="B144" s="29">
        <f>IF(138&lt;=Calculator!C9,138,"")</f>
        <v>138</v>
      </c>
      <c r="C144" s="30">
        <f>IF(138&lt;=Calculator!C9,EDATE(Calculator!C10,138-1),"")</f>
        <v>50375</v>
      </c>
      <c r="D144" s="31">
        <f>IF(138&lt;=Calculator!C9,Calculator!C14,"")</f>
        <v>43391.161668276698</v>
      </c>
      <c r="E144" s="31">
        <f>IF(138&lt;=Calculator!C9,G143*Calculator!C11,"")</f>
        <v>22417.986624246423</v>
      </c>
      <c r="F144" s="31">
        <f>IF(138&lt;=Calculator!C9,D144-E144,"")</f>
        <v>20973.175044030275</v>
      </c>
      <c r="G144" s="31">
        <f>IF(138&lt;=Calculator!C9,G143-F144,"")</f>
        <v>3143919.0542613468</v>
      </c>
    </row>
    <row r="145" spans="2:7" x14ac:dyDescent="0.25">
      <c r="B145" s="26">
        <f>IF(139&lt;=Calculator!C9,139,"")</f>
        <v>139</v>
      </c>
      <c r="C145" s="27">
        <f>IF(139&lt;=Calculator!C9,EDATE(Calculator!C10,139-1),"")</f>
        <v>50406</v>
      </c>
      <c r="D145" s="28">
        <f>IF(139&lt;=Calculator!C9,Calculator!C14,"")</f>
        <v>43391.161668276698</v>
      </c>
      <c r="E145" s="28">
        <f>IF(139&lt;=Calculator!C9,G144*Calculator!C11,"")</f>
        <v>22269.42663435121</v>
      </c>
      <c r="F145" s="28">
        <f>IF(139&lt;=Calculator!C9,D145-E145,"")</f>
        <v>21121.735033925488</v>
      </c>
      <c r="G145" s="28">
        <f>IF(139&lt;=Calculator!C9,G144-F145,"")</f>
        <v>3122797.3192274212</v>
      </c>
    </row>
    <row r="146" spans="2:7" x14ac:dyDescent="0.25">
      <c r="B146" s="29">
        <f>IF(140&lt;=Calculator!C9,140,"")</f>
        <v>140</v>
      </c>
      <c r="C146" s="30">
        <f>IF(140&lt;=Calculator!C9,EDATE(Calculator!C10,140-1),"")</f>
        <v>50437</v>
      </c>
      <c r="D146" s="31">
        <f>IF(140&lt;=Calculator!C9,Calculator!C14,"")</f>
        <v>43391.161668276698</v>
      </c>
      <c r="E146" s="31">
        <f>IF(140&lt;=Calculator!C9,G145*Calculator!C11,"")</f>
        <v>22119.814344527567</v>
      </c>
      <c r="F146" s="31">
        <f>IF(140&lt;=Calculator!C9,D146-E146,"")</f>
        <v>21271.347323749131</v>
      </c>
      <c r="G146" s="31">
        <f>IF(140&lt;=Calculator!C9,G145-F146,"")</f>
        <v>3101525.971903672</v>
      </c>
    </row>
    <row r="147" spans="2:7" x14ac:dyDescent="0.25">
      <c r="B147" s="26">
        <f>IF(141&lt;=Calculator!C9,141,"")</f>
        <v>141</v>
      </c>
      <c r="C147" s="27">
        <f>IF(141&lt;=Calculator!C9,EDATE(Calculator!C10,141-1),"")</f>
        <v>50465</v>
      </c>
      <c r="D147" s="28">
        <f>IF(141&lt;=Calculator!C9,Calculator!C14,"")</f>
        <v>43391.161668276698</v>
      </c>
      <c r="E147" s="28">
        <f>IF(141&lt;=Calculator!C9,G146*Calculator!C11,"")</f>
        <v>21969.142300984346</v>
      </c>
      <c r="F147" s="28">
        <f>IF(141&lt;=Calculator!C9,D147-E147,"")</f>
        <v>21422.019367292352</v>
      </c>
      <c r="G147" s="28">
        <f>IF(141&lt;=Calculator!C9,G146-F147,"")</f>
        <v>3080103.9525363795</v>
      </c>
    </row>
    <row r="148" spans="2:7" x14ac:dyDescent="0.25">
      <c r="B148" s="29">
        <f>IF(142&lt;=Calculator!C9,142,"")</f>
        <v>142</v>
      </c>
      <c r="C148" s="30">
        <f>IF(142&lt;=Calculator!C9,EDATE(Calculator!C10,142-1),"")</f>
        <v>50496</v>
      </c>
      <c r="D148" s="31">
        <f>IF(142&lt;=Calculator!C9,Calculator!C14,"")</f>
        <v>43391.161668276698</v>
      </c>
      <c r="E148" s="31">
        <f>IF(142&lt;=Calculator!C9,G147*Calculator!C11,"")</f>
        <v>21817.402997132689</v>
      </c>
      <c r="F148" s="31">
        <f>IF(142&lt;=Calculator!C9,D148-E148,"")</f>
        <v>21573.758671144009</v>
      </c>
      <c r="G148" s="31">
        <f>IF(142&lt;=Calculator!C9,G147-F148,"")</f>
        <v>3058530.1938652354</v>
      </c>
    </row>
    <row r="149" spans="2:7" x14ac:dyDescent="0.25">
      <c r="B149" s="26">
        <f>IF(143&lt;=Calculator!C9,143,"")</f>
        <v>143</v>
      </c>
      <c r="C149" s="27">
        <f>IF(143&lt;=Calculator!C9,EDATE(Calculator!C10,143-1),"")</f>
        <v>50526</v>
      </c>
      <c r="D149" s="28">
        <f>IF(143&lt;=Calculator!C9,Calculator!C14,"")</f>
        <v>43391.161668276698</v>
      </c>
      <c r="E149" s="28">
        <f>IF(143&lt;=Calculator!C9,G148*Calculator!C11,"")</f>
        <v>21664.588873212087</v>
      </c>
      <c r="F149" s="28">
        <f>IF(143&lt;=Calculator!C9,D149-E149,"")</f>
        <v>21726.572795064611</v>
      </c>
      <c r="G149" s="28">
        <f>IF(143&lt;=Calculator!C9,G148-F149,"")</f>
        <v>3036803.6210701708</v>
      </c>
    </row>
    <row r="150" spans="2:7" x14ac:dyDescent="0.25">
      <c r="B150" s="29">
        <f>IF(144&lt;=Calculator!C9,144,"")</f>
        <v>144</v>
      </c>
      <c r="C150" s="30">
        <f>IF(144&lt;=Calculator!C9,EDATE(Calculator!C10,144-1),"")</f>
        <v>50557</v>
      </c>
      <c r="D150" s="31">
        <f>IF(144&lt;=Calculator!C9,Calculator!C14,"")</f>
        <v>43391.161668276698</v>
      </c>
      <c r="E150" s="31">
        <f>IF(144&lt;=Calculator!C9,G149*Calculator!C11,"")</f>
        <v>21510.692315913711</v>
      </c>
      <c r="F150" s="31">
        <f>IF(144&lt;=Calculator!C9,D150-E150,"")</f>
        <v>21880.469352362987</v>
      </c>
      <c r="G150" s="31">
        <f>IF(144&lt;=Calculator!C9,G149-F150,"")</f>
        <v>3014923.1517178076</v>
      </c>
    </row>
    <row r="151" spans="2:7" x14ac:dyDescent="0.25">
      <c r="B151" s="26">
        <f>IF(145&lt;=Calculator!C9,145,"")</f>
        <v>145</v>
      </c>
      <c r="C151" s="27">
        <f>IF(145&lt;=Calculator!C9,EDATE(Calculator!C10,145-1),"")</f>
        <v>50587</v>
      </c>
      <c r="D151" s="28">
        <f>IF(145&lt;=Calculator!C9,Calculator!C14,"")</f>
        <v>43391.161668276698</v>
      </c>
      <c r="E151" s="28">
        <f>IF(145&lt;=Calculator!C9,G150*Calculator!C11,"")</f>
        <v>21355.705658001138</v>
      </c>
      <c r="F151" s="28">
        <f>IF(145&lt;=Calculator!C9,D151-E151,"")</f>
        <v>22035.45601027556</v>
      </c>
      <c r="G151" s="28">
        <f>IF(145&lt;=Calculator!C9,G150-F151,"")</f>
        <v>2992887.6957075321</v>
      </c>
    </row>
    <row r="152" spans="2:7" x14ac:dyDescent="0.25">
      <c r="B152" s="29">
        <f>IF(146&lt;=Calculator!C9,146,"")</f>
        <v>146</v>
      </c>
      <c r="C152" s="30">
        <f>IF(146&lt;=Calculator!C9,EDATE(Calculator!C10,146-1),"")</f>
        <v>50618</v>
      </c>
      <c r="D152" s="31">
        <f>IF(146&lt;=Calculator!C9,Calculator!C14,"")</f>
        <v>43391.161668276698</v>
      </c>
      <c r="E152" s="31">
        <f>IF(146&lt;=Calculator!C9,G151*Calculator!C11,"")</f>
        <v>21199.621177928355</v>
      </c>
      <c r="F152" s="31">
        <f>IF(146&lt;=Calculator!C9,D152-E152,"")</f>
        <v>22191.540490348343</v>
      </c>
      <c r="G152" s="31">
        <f>IF(146&lt;=Calculator!C9,G151-F152,"")</f>
        <v>2970696.1552171838</v>
      </c>
    </row>
    <row r="153" spans="2:7" x14ac:dyDescent="0.25">
      <c r="B153" s="26">
        <f>IF(147&lt;=Calculator!C9,147,"")</f>
        <v>147</v>
      </c>
      <c r="C153" s="27">
        <f>IF(147&lt;=Calculator!C9,EDATE(Calculator!C10,147-1),"")</f>
        <v>50649</v>
      </c>
      <c r="D153" s="28">
        <f>IF(147&lt;=Calculator!C9,Calculator!C14,"")</f>
        <v>43391.161668276698</v>
      </c>
      <c r="E153" s="28">
        <f>IF(147&lt;=Calculator!C9,G152*Calculator!C11,"")</f>
        <v>21042.431099455054</v>
      </c>
      <c r="F153" s="28">
        <f>IF(147&lt;=Calculator!C9,D153-E153,"")</f>
        <v>22348.730568821644</v>
      </c>
      <c r="G153" s="28">
        <f>IF(147&lt;=Calculator!C9,G152-F153,"")</f>
        <v>2948347.4246483622</v>
      </c>
    </row>
    <row r="154" spans="2:7" x14ac:dyDescent="0.25">
      <c r="B154" s="29">
        <f>IF(148&lt;=Calculator!C9,148,"")</f>
        <v>148</v>
      </c>
      <c r="C154" s="30">
        <f>IF(148&lt;=Calculator!C9,EDATE(Calculator!C10,148-1),"")</f>
        <v>50679</v>
      </c>
      <c r="D154" s="31">
        <f>IF(148&lt;=Calculator!C9,Calculator!C14,"")</f>
        <v>43391.161668276698</v>
      </c>
      <c r="E154" s="31">
        <f>IF(148&lt;=Calculator!C9,G153*Calculator!C11,"")</f>
        <v>20884.127591259235</v>
      </c>
      <c r="F154" s="31">
        <f>IF(148&lt;=Calculator!C9,D154-E154,"")</f>
        <v>22507.034077017463</v>
      </c>
      <c r="G154" s="31">
        <f>IF(148&lt;=Calculator!C9,G153-F154,"")</f>
        <v>2925840.3905713446</v>
      </c>
    </row>
    <row r="155" spans="2:7" x14ac:dyDescent="0.25">
      <c r="B155" s="26">
        <f>IF(149&lt;=Calculator!C9,149,"")</f>
        <v>149</v>
      </c>
      <c r="C155" s="27">
        <f>IF(149&lt;=Calculator!C9,EDATE(Calculator!C10,149-1),"")</f>
        <v>50710</v>
      </c>
      <c r="D155" s="28">
        <f>IF(149&lt;=Calculator!C9,Calculator!C14,"")</f>
        <v>43391.161668276698</v>
      </c>
      <c r="E155" s="28">
        <f>IF(149&lt;=Calculator!C9,G154*Calculator!C11,"")</f>
        <v>20724.702766547027</v>
      </c>
      <c r="F155" s="28">
        <f>IF(149&lt;=Calculator!C9,D155-E155,"")</f>
        <v>22666.458901729671</v>
      </c>
      <c r="G155" s="28">
        <f>IF(149&lt;=Calculator!C9,G154-F155,"")</f>
        <v>2903173.9316696147</v>
      </c>
    </row>
    <row r="156" spans="2:7" x14ac:dyDescent="0.25">
      <c r="B156" s="29">
        <f>IF(150&lt;=Calculator!C9,150,"")</f>
        <v>150</v>
      </c>
      <c r="C156" s="30">
        <f>IF(150&lt;=Calculator!C9,EDATE(Calculator!C10,150-1),"")</f>
        <v>50740</v>
      </c>
      <c r="D156" s="31">
        <f>IF(150&lt;=Calculator!C9,Calculator!C14,"")</f>
        <v>43391.161668276698</v>
      </c>
      <c r="E156" s="31">
        <f>IF(150&lt;=Calculator!C9,G155*Calculator!C11,"")</f>
        <v>20564.148682659772</v>
      </c>
      <c r="F156" s="31">
        <f>IF(150&lt;=Calculator!C9,D156-E156,"")</f>
        <v>22827.012985616926</v>
      </c>
      <c r="G156" s="31">
        <f>IF(150&lt;=Calculator!C9,G155-F156,"")</f>
        <v>2880346.9186839978</v>
      </c>
    </row>
    <row r="157" spans="2:7" x14ac:dyDescent="0.25">
      <c r="B157" s="26">
        <f>IF(151&lt;=Calculator!C9,151,"")</f>
        <v>151</v>
      </c>
      <c r="C157" s="27">
        <f>IF(151&lt;=Calculator!C9,EDATE(Calculator!C10,151-1),"")</f>
        <v>50771</v>
      </c>
      <c r="D157" s="28">
        <f>IF(151&lt;=Calculator!C9,Calculator!C14,"")</f>
        <v>43391.161668276698</v>
      </c>
      <c r="E157" s="28">
        <f>IF(151&lt;=Calculator!C9,G156*Calculator!C11,"")</f>
        <v>20402.45734067832</v>
      </c>
      <c r="F157" s="28">
        <f>IF(151&lt;=Calculator!C9,D157-E157,"")</f>
        <v>22988.704327598378</v>
      </c>
      <c r="G157" s="28">
        <f>IF(151&lt;=Calculator!C9,G156-F157,"")</f>
        <v>2857358.2143563996</v>
      </c>
    </row>
    <row r="158" spans="2:7" x14ac:dyDescent="0.25">
      <c r="B158" s="29">
        <f>IF(152&lt;=Calculator!C9,152,"")</f>
        <v>152</v>
      </c>
      <c r="C158" s="30">
        <f>IF(152&lt;=Calculator!C9,EDATE(Calculator!C10,152-1),"")</f>
        <v>50802</v>
      </c>
      <c r="D158" s="31">
        <f>IF(152&lt;=Calculator!C9,Calculator!C14,"")</f>
        <v>43391.161668276698</v>
      </c>
      <c r="E158" s="31">
        <f>IF(152&lt;=Calculator!C9,G157*Calculator!C11,"")</f>
        <v>20239.6206850245</v>
      </c>
      <c r="F158" s="31">
        <f>IF(152&lt;=Calculator!C9,D158-E158,"")</f>
        <v>23151.540983252198</v>
      </c>
      <c r="G158" s="31">
        <f>IF(152&lt;=Calculator!C9,G157-F158,"")</f>
        <v>2834206.6733731474</v>
      </c>
    </row>
    <row r="159" spans="2:7" x14ac:dyDescent="0.25">
      <c r="B159" s="26">
        <f>IF(153&lt;=Calculator!C9,153,"")</f>
        <v>153</v>
      </c>
      <c r="C159" s="27">
        <f>IF(153&lt;=Calculator!C9,EDATE(Calculator!C10,153-1),"")</f>
        <v>50830</v>
      </c>
      <c r="D159" s="28">
        <f>IF(153&lt;=Calculator!C9,Calculator!C14,"")</f>
        <v>43391.161668276698</v>
      </c>
      <c r="E159" s="28">
        <f>IF(153&lt;=Calculator!C9,G158*Calculator!C11,"")</f>
        <v>20075.630603059795</v>
      </c>
      <c r="F159" s="28">
        <f>IF(153&lt;=Calculator!C9,D159-E159,"")</f>
        <v>23315.531065216903</v>
      </c>
      <c r="G159" s="28">
        <f>IF(153&lt;=Calculator!C9,G158-F159,"")</f>
        <v>2810891.1423079306</v>
      </c>
    </row>
    <row r="160" spans="2:7" x14ac:dyDescent="0.25">
      <c r="B160" s="29">
        <f>IF(154&lt;=Calculator!C9,154,"")</f>
        <v>154</v>
      </c>
      <c r="C160" s="30">
        <f>IF(154&lt;=Calculator!C9,EDATE(Calculator!C10,154-1),"")</f>
        <v>50861</v>
      </c>
      <c r="D160" s="31">
        <f>IF(154&lt;=Calculator!C9,Calculator!C14,"")</f>
        <v>43391.161668276698</v>
      </c>
      <c r="E160" s="31">
        <f>IF(154&lt;=Calculator!C9,G159*Calculator!C11,"")</f>
        <v>19910.478924681178</v>
      </c>
      <c r="F160" s="31">
        <f>IF(154&lt;=Calculator!C9,D160-E160,"")</f>
        <v>23480.68274359552</v>
      </c>
      <c r="G160" s="31">
        <f>IF(154&lt;=Calculator!C9,G159-F160,"")</f>
        <v>2787410.4595643352</v>
      </c>
    </row>
    <row r="161" spans="2:7" x14ac:dyDescent="0.25">
      <c r="B161" s="26">
        <f>IF(155&lt;=Calculator!C9,155,"")</f>
        <v>155</v>
      </c>
      <c r="C161" s="27">
        <f>IF(155&lt;=Calculator!C9,EDATE(Calculator!C10,155-1),"")</f>
        <v>50891</v>
      </c>
      <c r="D161" s="28">
        <f>IF(155&lt;=Calculator!C9,Calculator!C14,"")</f>
        <v>43391.161668276698</v>
      </c>
      <c r="E161" s="28">
        <f>IF(155&lt;=Calculator!C9,G160*Calculator!C11,"")</f>
        <v>19744.157421914042</v>
      </c>
      <c r="F161" s="28">
        <f>IF(155&lt;=Calculator!C9,D161-E161,"")</f>
        <v>23647.004246362656</v>
      </c>
      <c r="G161" s="28">
        <f>IF(155&lt;=Calculator!C9,G160-F161,"")</f>
        <v>2763763.4553179727</v>
      </c>
    </row>
    <row r="162" spans="2:7" x14ac:dyDescent="0.25">
      <c r="B162" s="29">
        <f>IF(156&lt;=Calculator!C9,156,"")</f>
        <v>156</v>
      </c>
      <c r="C162" s="30">
        <f>IF(156&lt;=Calculator!C9,EDATE(Calculator!C10,156-1),"")</f>
        <v>50922</v>
      </c>
      <c r="D162" s="31">
        <f>IF(156&lt;=Calculator!C9,Calculator!C14,"")</f>
        <v>43391.161668276698</v>
      </c>
      <c r="E162" s="31">
        <f>IF(156&lt;=Calculator!C9,G161*Calculator!C11,"")</f>
        <v>19576.657808502307</v>
      </c>
      <c r="F162" s="31">
        <f>IF(156&lt;=Calculator!C9,D162-E162,"")</f>
        <v>23814.503859774391</v>
      </c>
      <c r="G162" s="31">
        <f>IF(156&lt;=Calculator!C9,G161-F162,"")</f>
        <v>2739948.9514581985</v>
      </c>
    </row>
    <row r="163" spans="2:7" x14ac:dyDescent="0.25">
      <c r="B163" s="26">
        <f>IF(157&lt;=Calculator!C9,157,"")</f>
        <v>157</v>
      </c>
      <c r="C163" s="27">
        <f>IF(157&lt;=Calculator!C9,EDATE(Calculator!C10,157-1),"")</f>
        <v>50952</v>
      </c>
      <c r="D163" s="28">
        <f>IF(157&lt;=Calculator!C9,Calculator!C14,"")</f>
        <v>43391.161668276698</v>
      </c>
      <c r="E163" s="28">
        <f>IF(157&lt;=Calculator!C9,G162*Calculator!C11,"")</f>
        <v>19407.971739495573</v>
      </c>
      <c r="F163" s="28">
        <f>IF(157&lt;=Calculator!C9,D163-E163,"")</f>
        <v>23983.189928781125</v>
      </c>
      <c r="G163" s="28">
        <f>IF(157&lt;=Calculator!C9,G162-F163,"")</f>
        <v>2715965.7615294172</v>
      </c>
    </row>
    <row r="164" spans="2:7" x14ac:dyDescent="0.25">
      <c r="B164" s="29">
        <f>IF(158&lt;=Calculator!C9,158,"")</f>
        <v>158</v>
      </c>
      <c r="C164" s="30">
        <f>IF(158&lt;=Calculator!C9,EDATE(Calculator!C10,158-1),"")</f>
        <v>50983</v>
      </c>
      <c r="D164" s="31">
        <f>IF(158&lt;=Calculator!C9,Calculator!C14,"")</f>
        <v>43391.161668276698</v>
      </c>
      <c r="E164" s="31">
        <f>IF(158&lt;=Calculator!C9,G163*Calculator!C11,"")</f>
        <v>19238.090810833375</v>
      </c>
      <c r="F164" s="31">
        <f>IF(158&lt;=Calculator!C9,D164-E164,"")</f>
        <v>24153.070857443323</v>
      </c>
      <c r="G164" s="31">
        <f>IF(158&lt;=Calculator!C9,G163-F164,"")</f>
        <v>2691812.6906719739</v>
      </c>
    </row>
    <row r="165" spans="2:7" x14ac:dyDescent="0.25">
      <c r="B165" s="26">
        <f>IF(159&lt;=Calculator!C9,159,"")</f>
        <v>159</v>
      </c>
      <c r="C165" s="27">
        <f>IF(159&lt;=Calculator!C9,EDATE(Calculator!C10,159-1),"")</f>
        <v>51014</v>
      </c>
      <c r="D165" s="28">
        <f>IF(159&lt;=Calculator!C9,Calculator!C14,"")</f>
        <v>43391.161668276698</v>
      </c>
      <c r="E165" s="28">
        <f>IF(159&lt;=Calculator!C9,G164*Calculator!C11,"")</f>
        <v>19067.006558926481</v>
      </c>
      <c r="F165" s="28">
        <f>IF(159&lt;=Calculator!C9,D165-E165,"")</f>
        <v>24324.155109350217</v>
      </c>
      <c r="G165" s="28">
        <f>IF(159&lt;=Calculator!C9,G164-F165,"")</f>
        <v>2667488.5355626238</v>
      </c>
    </row>
    <row r="166" spans="2:7" x14ac:dyDescent="0.25">
      <c r="B166" s="29">
        <f>IF(160&lt;=Calculator!C9,160,"")</f>
        <v>160</v>
      </c>
      <c r="C166" s="30">
        <f>IF(160&lt;=Calculator!C9,EDATE(Calculator!C10,160-1),"")</f>
        <v>51044</v>
      </c>
      <c r="D166" s="31">
        <f>IF(160&lt;=Calculator!C9,Calculator!C14,"")</f>
        <v>43391.161668276698</v>
      </c>
      <c r="E166" s="31">
        <f>IF(160&lt;=Calculator!C9,G165*Calculator!C11,"")</f>
        <v>18894.710460235252</v>
      </c>
      <c r="F166" s="31">
        <f>IF(160&lt;=Calculator!C9,D166-E166,"")</f>
        <v>24496.451208041446</v>
      </c>
      <c r="G166" s="31">
        <f>IF(160&lt;=Calculator!C9,G165-F166,"")</f>
        <v>2642992.0843545822</v>
      </c>
    </row>
    <row r="167" spans="2:7" x14ac:dyDescent="0.25">
      <c r="B167" s="26">
        <f>IF(161&lt;=Calculator!C9,161,"")</f>
        <v>161</v>
      </c>
      <c r="C167" s="27">
        <f>IF(161&lt;=Calculator!C9,EDATE(Calculator!C10,161-1),"")</f>
        <v>51075</v>
      </c>
      <c r="D167" s="28">
        <f>IF(161&lt;=Calculator!C9,Calculator!C14,"")</f>
        <v>43391.161668276698</v>
      </c>
      <c r="E167" s="28">
        <f>IF(161&lt;=Calculator!C9,G166*Calculator!C11,"")</f>
        <v>18721.193930844958</v>
      </c>
      <c r="F167" s="28">
        <f>IF(161&lt;=Calculator!C9,D167-E167,"")</f>
        <v>24669.96773743174</v>
      </c>
      <c r="G167" s="28">
        <f>IF(161&lt;=Calculator!C9,G166-F167,"")</f>
        <v>2618322.1166171506</v>
      </c>
    </row>
    <row r="168" spans="2:7" x14ac:dyDescent="0.25">
      <c r="B168" s="29">
        <f>IF(162&lt;=Calculator!C9,162,"")</f>
        <v>162</v>
      </c>
      <c r="C168" s="30">
        <f>IF(162&lt;=Calculator!C9,EDATE(Calculator!C10,162-1),"")</f>
        <v>51105</v>
      </c>
      <c r="D168" s="31">
        <f>IF(162&lt;=Calculator!C9,Calculator!C14,"")</f>
        <v>43391.161668276698</v>
      </c>
      <c r="E168" s="31">
        <f>IF(162&lt;=Calculator!C9,G167*Calculator!C11,"")</f>
        <v>18546.448326038153</v>
      </c>
      <c r="F168" s="31">
        <f>IF(162&lt;=Calculator!C9,D168-E168,"")</f>
        <v>24844.713342238545</v>
      </c>
      <c r="G168" s="31">
        <f>IF(162&lt;=Calculator!C9,G167-F168,"")</f>
        <v>2593477.4032749119</v>
      </c>
    </row>
    <row r="169" spans="2:7" x14ac:dyDescent="0.25">
      <c r="B169" s="26">
        <f>IF(163&lt;=Calculator!C9,163,"")</f>
        <v>163</v>
      </c>
      <c r="C169" s="27">
        <f>IF(163&lt;=Calculator!C9,EDATE(Calculator!C10,163-1),"")</f>
        <v>51136</v>
      </c>
      <c r="D169" s="28">
        <f>IF(163&lt;=Calculator!C9,Calculator!C14,"")</f>
        <v>43391.161668276698</v>
      </c>
      <c r="E169" s="28">
        <f>IF(163&lt;=Calculator!C9,G168*Calculator!C11,"")</f>
        <v>18370.464939863959</v>
      </c>
      <c r="F169" s="28">
        <f>IF(163&lt;=Calculator!C9,D169-E169,"")</f>
        <v>25020.696728412739</v>
      </c>
      <c r="G169" s="28">
        <f>IF(163&lt;=Calculator!C9,G168-F169,"")</f>
        <v>2568456.7065464994</v>
      </c>
    </row>
    <row r="170" spans="2:7" x14ac:dyDescent="0.25">
      <c r="B170" s="29">
        <f>IF(164&lt;=Calculator!C9,164,"")</f>
        <v>164</v>
      </c>
      <c r="C170" s="30">
        <f>IF(164&lt;=Calculator!C9,EDATE(Calculator!C10,164-1),"")</f>
        <v>51167</v>
      </c>
      <c r="D170" s="31">
        <f>IF(164&lt;=Calculator!C9,Calculator!C14,"")</f>
        <v>43391.161668276698</v>
      </c>
      <c r="E170" s="31">
        <f>IF(164&lt;=Calculator!C9,G169*Calculator!C11,"")</f>
        <v>18193.235004704373</v>
      </c>
      <c r="F170" s="31">
        <f>IF(164&lt;=Calculator!C9,D170-E170,"")</f>
        <v>25197.926663572325</v>
      </c>
      <c r="G170" s="31">
        <f>IF(164&lt;=Calculator!C9,G169-F170,"")</f>
        <v>2543258.779882927</v>
      </c>
    </row>
    <row r="171" spans="2:7" x14ac:dyDescent="0.25">
      <c r="B171" s="26">
        <f>IF(165&lt;=Calculator!C9,165,"")</f>
        <v>165</v>
      </c>
      <c r="C171" s="27">
        <f>IF(165&lt;=Calculator!C9,EDATE(Calculator!C10,165-1),"")</f>
        <v>51196</v>
      </c>
      <c r="D171" s="28">
        <f>IF(165&lt;=Calculator!C9,Calculator!C14,"")</f>
        <v>43391.161668276698</v>
      </c>
      <c r="E171" s="28">
        <f>IF(165&lt;=Calculator!C9,G170*Calculator!C11,"")</f>
        <v>18014.749690837401</v>
      </c>
      <c r="F171" s="28">
        <f>IF(165&lt;=Calculator!C9,D171-E171,"")</f>
        <v>25376.411977439297</v>
      </c>
      <c r="G171" s="28">
        <f>IF(165&lt;=Calculator!C9,G170-F171,"")</f>
        <v>2517882.3679054878</v>
      </c>
    </row>
    <row r="172" spans="2:7" x14ac:dyDescent="0.25">
      <c r="B172" s="29">
        <f>IF(166&lt;=Calculator!C9,166,"")</f>
        <v>166</v>
      </c>
      <c r="C172" s="30">
        <f>IF(166&lt;=Calculator!C9,EDATE(Calculator!C10,166-1),"")</f>
        <v>51227</v>
      </c>
      <c r="D172" s="31">
        <f>IF(166&lt;=Calculator!C9,Calculator!C14,"")</f>
        <v>43391.161668276698</v>
      </c>
      <c r="E172" s="31">
        <f>IF(166&lt;=Calculator!C9,G171*Calculator!C11,"")</f>
        <v>17835.000105997206</v>
      </c>
      <c r="F172" s="31">
        <f>IF(166&lt;=Calculator!C9,D172-E172,"")</f>
        <v>25556.161562279493</v>
      </c>
      <c r="G172" s="31">
        <f>IF(166&lt;=Calculator!C9,G171-F172,"")</f>
        <v>2492326.2063432084</v>
      </c>
    </row>
    <row r="173" spans="2:7" x14ac:dyDescent="0.25">
      <c r="B173" s="26">
        <f>IF(167&lt;=Calculator!C9,167,"")</f>
        <v>167</v>
      </c>
      <c r="C173" s="27">
        <f>IF(167&lt;=Calculator!C9,EDATE(Calculator!C10,167-1),"")</f>
        <v>51257</v>
      </c>
      <c r="D173" s="28">
        <f>IF(167&lt;=Calculator!C9,Calculator!C14,"")</f>
        <v>43391.161668276698</v>
      </c>
      <c r="E173" s="28">
        <f>IF(167&lt;=Calculator!C9,G172*Calculator!C11,"")</f>
        <v>17653.977294931061</v>
      </c>
      <c r="F173" s="28">
        <f>IF(167&lt;=Calculator!C9,D173-E173,"")</f>
        <v>25737.184373345637</v>
      </c>
      <c r="G173" s="28">
        <f>IF(167&lt;=Calculator!C9,G172-F173,"")</f>
        <v>2466589.0219698627</v>
      </c>
    </row>
    <row r="174" spans="2:7" x14ac:dyDescent="0.25">
      <c r="B174" s="29">
        <f>IF(168&lt;=Calculator!C9,168,"")</f>
        <v>168</v>
      </c>
      <c r="C174" s="30">
        <f>IF(168&lt;=Calculator!C9,EDATE(Calculator!C10,168-1),"")</f>
        <v>51288</v>
      </c>
      <c r="D174" s="31">
        <f>IF(168&lt;=Calculator!C9,Calculator!C14,"")</f>
        <v>43391.161668276698</v>
      </c>
      <c r="E174" s="31">
        <f>IF(168&lt;=Calculator!C9,G173*Calculator!C11,"")</f>
        <v>17471.672238953197</v>
      </c>
      <c r="F174" s="31">
        <f>IF(168&lt;=Calculator!C9,D174-E174,"")</f>
        <v>25919.489429323501</v>
      </c>
      <c r="G174" s="31">
        <f>IF(168&lt;=Calculator!C9,G173-F174,"")</f>
        <v>2440669.5325405393</v>
      </c>
    </row>
    <row r="175" spans="2:7" x14ac:dyDescent="0.25">
      <c r="B175" s="26">
        <f>IF(169&lt;=Calculator!C9,169,"")</f>
        <v>169</v>
      </c>
      <c r="C175" s="27">
        <f>IF(169&lt;=Calculator!C9,EDATE(Calculator!C10,169-1),"")</f>
        <v>51318</v>
      </c>
      <c r="D175" s="28">
        <f>IF(169&lt;=Calculator!C9,Calculator!C14,"")</f>
        <v>43391.161668276698</v>
      </c>
      <c r="E175" s="28">
        <f>IF(169&lt;=Calculator!C9,G174*Calculator!C11,"")</f>
        <v>17288.075855495488</v>
      </c>
      <c r="F175" s="28">
        <f>IF(169&lt;=Calculator!C9,D175-E175,"")</f>
        <v>26103.08581278121</v>
      </c>
      <c r="G175" s="28">
        <f>IF(169&lt;=Calculator!C9,G174-F175,"")</f>
        <v>2414566.4467277583</v>
      </c>
    </row>
    <row r="176" spans="2:7" x14ac:dyDescent="0.25">
      <c r="B176" s="29">
        <f>IF(170&lt;=Calculator!C9,170,"")</f>
        <v>170</v>
      </c>
      <c r="C176" s="30">
        <f>IF(170&lt;=Calculator!C9,EDATE(Calculator!C10,170-1),"")</f>
        <v>51349</v>
      </c>
      <c r="D176" s="31">
        <f>IF(170&lt;=Calculator!C9,Calculator!C14,"")</f>
        <v>43391.161668276698</v>
      </c>
      <c r="E176" s="31">
        <f>IF(170&lt;=Calculator!C9,G175*Calculator!C11,"")</f>
        <v>17103.178997654955</v>
      </c>
      <c r="F176" s="31">
        <f>IF(170&lt;=Calculator!C9,D176-E176,"")</f>
        <v>26287.982670621743</v>
      </c>
      <c r="G176" s="31">
        <f>IF(170&lt;=Calculator!C9,G175-F176,"")</f>
        <v>2388278.4640571363</v>
      </c>
    </row>
    <row r="177" spans="2:7" x14ac:dyDescent="0.25">
      <c r="B177" s="26">
        <f>IF(171&lt;=Calculator!C9,171,"")</f>
        <v>171</v>
      </c>
      <c r="C177" s="27">
        <f>IF(171&lt;=Calculator!C9,EDATE(Calculator!C10,171-1),"")</f>
        <v>51380</v>
      </c>
      <c r="D177" s="28">
        <f>IF(171&lt;=Calculator!C9,Calculator!C14,"")</f>
        <v>43391.161668276698</v>
      </c>
      <c r="E177" s="28">
        <f>IF(171&lt;=Calculator!C9,G176*Calculator!C11,"")</f>
        <v>16916.97245373805</v>
      </c>
      <c r="F177" s="28">
        <f>IF(171&lt;=Calculator!C9,D177-E177,"")</f>
        <v>26474.189214538648</v>
      </c>
      <c r="G177" s="28">
        <f>IF(171&lt;=Calculator!C9,G176-F177,"")</f>
        <v>2361804.2748425975</v>
      </c>
    </row>
    <row r="178" spans="2:7" x14ac:dyDescent="0.25">
      <c r="B178" s="29">
        <f>IF(172&lt;=Calculator!C9,172,"")</f>
        <v>172</v>
      </c>
      <c r="C178" s="30">
        <f>IF(172&lt;=Calculator!C9,EDATE(Calculator!C10,172-1),"")</f>
        <v>51410</v>
      </c>
      <c r="D178" s="31">
        <f>IF(172&lt;=Calculator!C9,Calculator!C14,"")</f>
        <v>43391.161668276698</v>
      </c>
      <c r="E178" s="31">
        <f>IF(172&lt;=Calculator!C9,G177*Calculator!C11,"")</f>
        <v>16729.446946801734</v>
      </c>
      <c r="F178" s="31">
        <f>IF(172&lt;=Calculator!C9,D178-E178,"")</f>
        <v>26661.714721474964</v>
      </c>
      <c r="G178" s="31">
        <f>IF(172&lt;=Calculator!C9,G177-F178,"")</f>
        <v>2335142.5601211227</v>
      </c>
    </row>
    <row r="179" spans="2:7" x14ac:dyDescent="0.25">
      <c r="B179" s="26">
        <f>IF(173&lt;=Calculator!C9,173,"")</f>
        <v>173</v>
      </c>
      <c r="C179" s="27">
        <f>IF(173&lt;=Calculator!C9,EDATE(Calculator!C10,173-1),"")</f>
        <v>51441</v>
      </c>
      <c r="D179" s="28">
        <f>IF(173&lt;=Calculator!C9,Calculator!C14,"")</f>
        <v>43391.161668276698</v>
      </c>
      <c r="E179" s="28">
        <f>IF(173&lt;=Calculator!C9,G178*Calculator!C11,"")</f>
        <v>16540.593134191287</v>
      </c>
      <c r="F179" s="28">
        <f>IF(173&lt;=Calculator!C9,D179-E179,"")</f>
        <v>26850.568534085411</v>
      </c>
      <c r="G179" s="28">
        <f>IF(173&lt;=Calculator!C9,G178-F179,"")</f>
        <v>2308291.9915870372</v>
      </c>
    </row>
    <row r="180" spans="2:7" x14ac:dyDescent="0.25">
      <c r="B180" s="29">
        <f>IF(174&lt;=Calculator!C9,174,"")</f>
        <v>174</v>
      </c>
      <c r="C180" s="30">
        <f>IF(174&lt;=Calculator!C9,EDATE(Calculator!C10,174-1),"")</f>
        <v>51471</v>
      </c>
      <c r="D180" s="31">
        <f>IF(174&lt;=Calculator!C9,Calculator!C14,"")</f>
        <v>43391.161668276698</v>
      </c>
      <c r="E180" s="31">
        <f>IF(174&lt;=Calculator!C9,G179*Calculator!C11,"")</f>
        <v>16350.401607074848</v>
      </c>
      <c r="F180" s="31">
        <f>IF(174&lt;=Calculator!C9,D180-E180,"")</f>
        <v>27040.76006120185</v>
      </c>
      <c r="G180" s="31">
        <f>IF(174&lt;=Calculator!C9,G179-F180,"")</f>
        <v>2281251.2315258356</v>
      </c>
    </row>
    <row r="181" spans="2:7" x14ac:dyDescent="0.25">
      <c r="B181" s="26">
        <f>IF(175&lt;=Calculator!C9,175,"")</f>
        <v>175</v>
      </c>
      <c r="C181" s="27">
        <f>IF(175&lt;=Calculator!C9,EDATE(Calculator!C10,175-1),"")</f>
        <v>51502</v>
      </c>
      <c r="D181" s="28">
        <f>IF(175&lt;=Calculator!C9,Calculator!C14,"")</f>
        <v>43391.161668276698</v>
      </c>
      <c r="E181" s="28">
        <f>IF(175&lt;=Calculator!C9,G180*Calculator!C11,"")</f>
        <v>16158.862889974669</v>
      </c>
      <c r="F181" s="28">
        <f>IF(175&lt;=Calculator!C9,D181-E181,"")</f>
        <v>27232.298778302029</v>
      </c>
      <c r="G181" s="28">
        <f>IF(175&lt;=Calculator!C9,G180-F181,"")</f>
        <v>2254018.9327475335</v>
      </c>
    </row>
    <row r="182" spans="2:7" x14ac:dyDescent="0.25">
      <c r="B182" s="29">
        <f>IF(176&lt;=Calculator!C9,176,"")</f>
        <v>176</v>
      </c>
      <c r="C182" s="30">
        <f>IF(176&lt;=Calculator!C9,EDATE(Calculator!C10,176-1),"")</f>
        <v>51533</v>
      </c>
      <c r="D182" s="31">
        <f>IF(176&lt;=Calculator!C9,Calculator!C14,"")</f>
        <v>43391.161668276698</v>
      </c>
      <c r="E182" s="31">
        <f>IF(176&lt;=Calculator!C9,G181*Calculator!C11,"")</f>
        <v>15965.96744029503</v>
      </c>
      <c r="F182" s="31">
        <f>IF(176&lt;=Calculator!C9,D182-E182,"")</f>
        <v>27425.194227981669</v>
      </c>
      <c r="G182" s="31">
        <f>IF(176&lt;=Calculator!C9,G181-F182,"")</f>
        <v>2226593.7385195517</v>
      </c>
    </row>
    <row r="183" spans="2:7" x14ac:dyDescent="0.25">
      <c r="B183" s="26">
        <f>IF(177&lt;=Calculator!C9,177,"")</f>
        <v>177</v>
      </c>
      <c r="C183" s="27">
        <f>IF(177&lt;=Calculator!C9,EDATE(Calculator!C10,177-1),"")</f>
        <v>51561</v>
      </c>
      <c r="D183" s="28">
        <f>IF(177&lt;=Calculator!C9,Calculator!C14,"")</f>
        <v>43391.161668276698</v>
      </c>
      <c r="E183" s="28">
        <f>IF(177&lt;=Calculator!C9,G182*Calculator!C11,"")</f>
        <v>15771.705647846826</v>
      </c>
      <c r="F183" s="28">
        <f>IF(177&lt;=Calculator!C9,D183-E183,"")</f>
        <v>27619.456020429872</v>
      </c>
      <c r="G183" s="28">
        <f>IF(177&lt;=Calculator!C9,G182-F183,"")</f>
        <v>2198974.282499122</v>
      </c>
    </row>
    <row r="184" spans="2:7" x14ac:dyDescent="0.25">
      <c r="B184" s="29">
        <f>IF(178&lt;=Calculator!C9,178,"")</f>
        <v>178</v>
      </c>
      <c r="C184" s="30">
        <f>IF(178&lt;=Calculator!C9,EDATE(Calculator!C10,178-1),"")</f>
        <v>51592</v>
      </c>
      <c r="D184" s="31">
        <f>IF(178&lt;=Calculator!C9,Calculator!C14,"")</f>
        <v>43391.161668276698</v>
      </c>
      <c r="E184" s="31">
        <f>IF(178&lt;=Calculator!C9,G183*Calculator!C11,"")</f>
        <v>15576.067834368781</v>
      </c>
      <c r="F184" s="31">
        <f>IF(178&lt;=Calculator!C9,D184-E184,"")</f>
        <v>27815.093833907915</v>
      </c>
      <c r="G184" s="31">
        <f>IF(178&lt;=Calculator!C9,G183-F184,"")</f>
        <v>2171159.188665214</v>
      </c>
    </row>
    <row r="185" spans="2:7" x14ac:dyDescent="0.25">
      <c r="B185" s="26">
        <f>IF(179&lt;=Calculator!C9,179,"")</f>
        <v>179</v>
      </c>
      <c r="C185" s="27">
        <f>IF(179&lt;=Calculator!C9,EDATE(Calculator!C10,179-1),"")</f>
        <v>51622</v>
      </c>
      <c r="D185" s="28">
        <f>IF(179&lt;=Calculator!C9,Calculator!C14,"")</f>
        <v>43391.161668276698</v>
      </c>
      <c r="E185" s="28">
        <f>IF(179&lt;=Calculator!C9,G184*Calculator!C11,"")</f>
        <v>15379.044253045267</v>
      </c>
      <c r="F185" s="28">
        <f>IF(179&lt;=Calculator!C9,D185-E185,"")</f>
        <v>28012.117415231431</v>
      </c>
      <c r="G185" s="28">
        <f>IF(179&lt;=Calculator!C9,G184-F185,"")</f>
        <v>2143147.0712499823</v>
      </c>
    </row>
    <row r="186" spans="2:7" x14ac:dyDescent="0.25">
      <c r="B186" s="29">
        <f>IF(180&lt;=Calculator!C9,180,"")</f>
        <v>180</v>
      </c>
      <c r="C186" s="30">
        <f>IF(180&lt;=Calculator!C9,EDATE(Calculator!C10,180-1),"")</f>
        <v>51653</v>
      </c>
      <c r="D186" s="31">
        <f>IF(180&lt;=Calculator!C9,Calculator!C14,"")</f>
        <v>43391.161668276698</v>
      </c>
      <c r="E186" s="31">
        <f>IF(180&lt;=Calculator!C9,G185*Calculator!C11,"")</f>
        <v>15180.62508802071</v>
      </c>
      <c r="F186" s="31">
        <f>IF(180&lt;=Calculator!C9,D186-E186,"")</f>
        <v>28210.53658025599</v>
      </c>
      <c r="G186" s="31">
        <f>IF(180&lt;=Calculator!C9,G185-F186,"")</f>
        <v>2114936.5346697262</v>
      </c>
    </row>
    <row r="187" spans="2:7" x14ac:dyDescent="0.25">
      <c r="B187" s="26">
        <f>IF(181&lt;=Calculator!C9,181,"")</f>
        <v>181</v>
      </c>
      <c r="C187" s="27">
        <f>IF(181&lt;=Calculator!C9,EDATE(Calculator!C10,181-1),"")</f>
        <v>51683</v>
      </c>
      <c r="D187" s="28">
        <f>IF(181&lt;=Calculator!C9,Calculator!C14,"")</f>
        <v>43391.161668276698</v>
      </c>
      <c r="E187" s="28">
        <f>IF(181&lt;=Calculator!C9,G186*Calculator!C11,"")</f>
        <v>14980.80045391056</v>
      </c>
      <c r="F187" s="28">
        <f>IF(181&lt;=Calculator!C9,D187-E187,"")</f>
        <v>28410.361214366138</v>
      </c>
      <c r="G187" s="28">
        <f>IF(181&lt;=Calculator!C9,G186-F187,"")</f>
        <v>2086526.1734553601</v>
      </c>
    </row>
    <row r="188" spans="2:7" x14ac:dyDescent="0.25">
      <c r="B188" s="29">
        <f>IF(182&lt;=Calculator!C9,182,"")</f>
        <v>182</v>
      </c>
      <c r="C188" s="30">
        <f>IF(182&lt;=Calculator!C9,EDATE(Calculator!C10,182-1),"")</f>
        <v>51714</v>
      </c>
      <c r="D188" s="31">
        <f>IF(182&lt;=Calculator!C9,Calculator!C14,"")</f>
        <v>43391.161668276698</v>
      </c>
      <c r="E188" s="31">
        <f>IF(182&lt;=Calculator!C9,G187*Calculator!C11,"")</f>
        <v>14779.560395308801</v>
      </c>
      <c r="F188" s="31">
        <f>IF(182&lt;=Calculator!C9,D188-E188,"")</f>
        <v>28611.601272967899</v>
      </c>
      <c r="G188" s="31">
        <f>IF(182&lt;=Calculator!C9,G187-F188,"")</f>
        <v>2057914.5721823922</v>
      </c>
    </row>
    <row r="189" spans="2:7" x14ac:dyDescent="0.25">
      <c r="B189" s="26">
        <f>IF(183&lt;=Calculator!C9,183,"")</f>
        <v>183</v>
      </c>
      <c r="C189" s="27">
        <f>IF(183&lt;=Calculator!C9,EDATE(Calculator!C10,183-1),"")</f>
        <v>51745</v>
      </c>
      <c r="D189" s="28">
        <f>IF(183&lt;=Calculator!C9,Calculator!C14,"")</f>
        <v>43391.161668276698</v>
      </c>
      <c r="E189" s="28">
        <f>IF(183&lt;=Calculator!C9,G188*Calculator!C11,"")</f>
        <v>14576.894886291946</v>
      </c>
      <c r="F189" s="28">
        <f>IF(183&lt;=Calculator!C9,D189-E189,"")</f>
        <v>28814.266781984752</v>
      </c>
      <c r="G189" s="28">
        <f>IF(183&lt;=Calculator!C9,G188-F189,"")</f>
        <v>2029100.3054004074</v>
      </c>
    </row>
    <row r="190" spans="2:7" x14ac:dyDescent="0.25">
      <c r="B190" s="29">
        <f>IF(184&lt;=Calculator!C9,184,"")</f>
        <v>184</v>
      </c>
      <c r="C190" s="30">
        <f>IF(184&lt;=Calculator!C9,EDATE(Calculator!C10,184-1),"")</f>
        <v>51775</v>
      </c>
      <c r="D190" s="31">
        <f>IF(184&lt;=Calculator!C9,Calculator!C14,"")</f>
        <v>43391.161668276698</v>
      </c>
      <c r="E190" s="31">
        <f>IF(184&lt;=Calculator!C9,G189*Calculator!C11,"")</f>
        <v>14372.793829919554</v>
      </c>
      <c r="F190" s="31">
        <f>IF(184&lt;=Calculator!C9,D190-E190,"")</f>
        <v>29018.367838357146</v>
      </c>
      <c r="G190" s="31">
        <f>IF(184&lt;=Calculator!C9,G189-F190,"")</f>
        <v>2000081.9375620503</v>
      </c>
    </row>
    <row r="191" spans="2:7" x14ac:dyDescent="0.25">
      <c r="B191" s="26">
        <f>IF(185&lt;=Calculator!C9,185,"")</f>
        <v>185</v>
      </c>
      <c r="C191" s="27">
        <f>IF(185&lt;=Calculator!C9,EDATE(Calculator!C10,185-1),"")</f>
        <v>51806</v>
      </c>
      <c r="D191" s="28">
        <f>IF(185&lt;=Calculator!C9,Calculator!C14,"")</f>
        <v>43391.161668276698</v>
      </c>
      <c r="E191" s="28">
        <f>IF(185&lt;=Calculator!C9,G190*Calculator!C11,"")</f>
        <v>14167.247057731191</v>
      </c>
      <c r="F191" s="28">
        <f>IF(185&lt;=Calculator!C9,D191-E191,"")</f>
        <v>29223.914610545507</v>
      </c>
      <c r="G191" s="28">
        <f>IF(185&lt;=Calculator!C9,G190-F191,"")</f>
        <v>1970858.0229515047</v>
      </c>
    </row>
    <row r="192" spans="2:7" x14ac:dyDescent="0.25">
      <c r="B192" s="29">
        <f>IF(186&lt;=Calculator!C9,186,"")</f>
        <v>186</v>
      </c>
      <c r="C192" s="30">
        <f>IF(186&lt;=Calculator!C9,EDATE(Calculator!C10,186-1),"")</f>
        <v>51836</v>
      </c>
      <c r="D192" s="31">
        <f>IF(186&lt;=Calculator!C9,Calculator!C14,"")</f>
        <v>43391.161668276698</v>
      </c>
      <c r="E192" s="31">
        <f>IF(186&lt;=Calculator!C9,G191*Calculator!C11,"")</f>
        <v>13960.244329239826</v>
      </c>
      <c r="F192" s="31">
        <f>IF(186&lt;=Calculator!C9,D192-E192,"")</f>
        <v>29430.917339036874</v>
      </c>
      <c r="G192" s="31">
        <f>IF(186&lt;=Calculator!C9,G191-F192,"")</f>
        <v>1941427.1056124677</v>
      </c>
    </row>
    <row r="193" spans="2:7" x14ac:dyDescent="0.25">
      <c r="B193" s="26">
        <f>IF(187&lt;=Calculator!C9,187,"")</f>
        <v>187</v>
      </c>
      <c r="C193" s="27">
        <f>IF(187&lt;=Calculator!C9,EDATE(Calculator!C10,187-1),"")</f>
        <v>51867</v>
      </c>
      <c r="D193" s="28">
        <f>IF(187&lt;=Calculator!C9,Calculator!C14,"")</f>
        <v>43391.161668276698</v>
      </c>
      <c r="E193" s="28">
        <f>IF(187&lt;=Calculator!C9,G192*Calculator!C11,"")</f>
        <v>13751.775331421648</v>
      </c>
      <c r="F193" s="28">
        <f>IF(187&lt;=Calculator!C9,D193-E193,"")</f>
        <v>29639.386336855052</v>
      </c>
      <c r="G193" s="28">
        <f>IF(187&lt;=Calculator!C9,G192-F193,"")</f>
        <v>1911787.7192756126</v>
      </c>
    </row>
    <row r="194" spans="2:7" x14ac:dyDescent="0.25">
      <c r="B194" s="29">
        <f>IF(188&lt;=Calculator!C9,188,"")</f>
        <v>188</v>
      </c>
      <c r="C194" s="30">
        <f>IF(188&lt;=Calculator!C9,EDATE(Calculator!C10,188-1),"")</f>
        <v>51898</v>
      </c>
      <c r="D194" s="31">
        <f>IF(188&lt;=Calculator!C9,Calculator!C14,"")</f>
        <v>43391.161668276698</v>
      </c>
      <c r="E194" s="31">
        <f>IF(188&lt;=Calculator!C9,G193*Calculator!C11,"")</f>
        <v>13541.829678202257</v>
      </c>
      <c r="F194" s="31">
        <f>IF(188&lt;=Calculator!C9,D194-E194,"")</f>
        <v>29849.331990074439</v>
      </c>
      <c r="G194" s="31">
        <f>IF(188&lt;=Calculator!C9,G193-F194,"")</f>
        <v>1881938.3872855383</v>
      </c>
    </row>
    <row r="195" spans="2:7" x14ac:dyDescent="0.25">
      <c r="B195" s="26">
        <f>IF(189&lt;=Calculator!C9,189,"")</f>
        <v>189</v>
      </c>
      <c r="C195" s="27">
        <f>IF(189&lt;=Calculator!C9,EDATE(Calculator!C10,189-1),"")</f>
        <v>51926</v>
      </c>
      <c r="D195" s="28">
        <f>IF(189&lt;=Calculator!C9,Calculator!C14,"")</f>
        <v>43391.161668276698</v>
      </c>
      <c r="E195" s="28">
        <f>IF(189&lt;=Calculator!C9,G194*Calculator!C11,"")</f>
        <v>13330.396909939231</v>
      </c>
      <c r="F195" s="28">
        <f>IF(189&lt;=Calculator!C9,D195-E195,"")</f>
        <v>30060.764758337467</v>
      </c>
      <c r="G195" s="28">
        <f>IF(189&lt;=Calculator!C9,G194-F195,"")</f>
        <v>1851877.6225272007</v>
      </c>
    </row>
    <row r="196" spans="2:7" x14ac:dyDescent="0.25">
      <c r="B196" s="29">
        <f>IF(190&lt;=Calculator!C9,190,"")</f>
        <v>190</v>
      </c>
      <c r="C196" s="30">
        <f>IF(190&lt;=Calculator!C9,EDATE(Calculator!C10,190-1),"")</f>
        <v>51957</v>
      </c>
      <c r="D196" s="31">
        <f>IF(190&lt;=Calculator!C9,Calculator!C14,"")</f>
        <v>43391.161668276698</v>
      </c>
      <c r="E196" s="31">
        <f>IF(190&lt;=Calculator!C9,G195*Calculator!C11,"")</f>
        <v>13117.466492901007</v>
      </c>
      <c r="F196" s="31">
        <f>IF(190&lt;=Calculator!C9,D196-E196,"")</f>
        <v>30273.695175375691</v>
      </c>
      <c r="G196" s="31">
        <f>IF(190&lt;=Calculator!C9,G195-F196,"")</f>
        <v>1821603.9273518249</v>
      </c>
    </row>
    <row r="197" spans="2:7" x14ac:dyDescent="0.25">
      <c r="B197" s="26">
        <f>IF(191&lt;=Calculator!C9,191,"")</f>
        <v>191</v>
      </c>
      <c r="C197" s="27">
        <f>IF(191&lt;=Calculator!C9,EDATE(Calculator!C10,191-1),"")</f>
        <v>51987</v>
      </c>
      <c r="D197" s="28">
        <f>IF(191&lt;=Calculator!C9,Calculator!C14,"")</f>
        <v>43391.161668276698</v>
      </c>
      <c r="E197" s="28">
        <f>IF(191&lt;=Calculator!C9,G196*Calculator!C11,"")</f>
        <v>12903.027818742094</v>
      </c>
      <c r="F197" s="28">
        <f>IF(191&lt;=Calculator!C9,D197-E197,"")</f>
        <v>30488.133849534606</v>
      </c>
      <c r="G197" s="28">
        <f>IF(191&lt;=Calculator!C9,G196-F197,"")</f>
        <v>1791115.7935022903</v>
      </c>
    </row>
    <row r="198" spans="2:7" x14ac:dyDescent="0.25">
      <c r="B198" s="29">
        <f>IF(192&lt;=Calculator!C9,192,"")</f>
        <v>192</v>
      </c>
      <c r="C198" s="30">
        <f>IF(192&lt;=Calculator!C9,EDATE(Calculator!C10,192-1),"")</f>
        <v>52018</v>
      </c>
      <c r="D198" s="31">
        <f>IF(192&lt;=Calculator!C9,Calculator!C14,"")</f>
        <v>43391.161668276698</v>
      </c>
      <c r="E198" s="31">
        <f>IF(192&lt;=Calculator!C9,G197*Calculator!C11,"")</f>
        <v>12687.070203974557</v>
      </c>
      <c r="F198" s="31">
        <f>IF(192&lt;=Calculator!C9,D198-E198,"")</f>
        <v>30704.091464302139</v>
      </c>
      <c r="G198" s="31">
        <f>IF(192&lt;=Calculator!C9,G197-F198,"")</f>
        <v>1760411.7020379882</v>
      </c>
    </row>
    <row r="199" spans="2:7" x14ac:dyDescent="0.25">
      <c r="B199" s="26">
        <f>IF(193&lt;=Calculator!C9,193,"")</f>
        <v>193</v>
      </c>
      <c r="C199" s="27">
        <f>IF(193&lt;=Calculator!C9,EDATE(Calculator!C10,193-1),"")</f>
        <v>52048</v>
      </c>
      <c r="D199" s="28">
        <f>IF(193&lt;=Calculator!C9,Calculator!C14,"")</f>
        <v>43391.161668276698</v>
      </c>
      <c r="E199" s="28">
        <f>IF(193&lt;=Calculator!C9,G198*Calculator!C11,"")</f>
        <v>12469.582889435751</v>
      </c>
      <c r="F199" s="28">
        <f>IF(193&lt;=Calculator!C9,D199-E199,"")</f>
        <v>30921.578778840947</v>
      </c>
      <c r="G199" s="28">
        <f>IF(193&lt;=Calculator!C9,G198-F199,"")</f>
        <v>1729490.1232591474</v>
      </c>
    </row>
    <row r="200" spans="2:7" x14ac:dyDescent="0.25">
      <c r="B200" s="29">
        <f>IF(194&lt;=Calculator!C9,194,"")</f>
        <v>194</v>
      </c>
      <c r="C200" s="30">
        <f>IF(194&lt;=Calculator!C9,EDATE(Calculator!C10,194-1),"")</f>
        <v>52079</v>
      </c>
      <c r="D200" s="31">
        <f>IF(194&lt;=Calculator!C9,Calculator!C14,"")</f>
        <v>43391.161668276698</v>
      </c>
      <c r="E200" s="31">
        <f>IF(194&lt;=Calculator!C9,G199*Calculator!C11,"")</f>
        <v>12250.555039752295</v>
      </c>
      <c r="F200" s="31">
        <f>IF(194&lt;=Calculator!C9,D200-E200,"")</f>
        <v>31140.606628524401</v>
      </c>
      <c r="G200" s="31">
        <f>IF(194&lt;=Calculator!C9,G199-F200,"")</f>
        <v>1698349.516630623</v>
      </c>
    </row>
    <row r="201" spans="2:7" x14ac:dyDescent="0.25">
      <c r="B201" s="26">
        <f>IF(195&lt;=Calculator!C9,195,"")</f>
        <v>195</v>
      </c>
      <c r="C201" s="27">
        <f>IF(195&lt;=Calculator!C9,EDATE(Calculator!C10,195-1),"")</f>
        <v>52110</v>
      </c>
      <c r="D201" s="28">
        <f>IF(195&lt;=Calculator!C9,Calculator!C14,"")</f>
        <v>43391.161668276698</v>
      </c>
      <c r="E201" s="28">
        <f>IF(195&lt;=Calculator!C9,G200*Calculator!C11,"")</f>
        <v>12029.975742800247</v>
      </c>
      <c r="F201" s="28">
        <f>IF(195&lt;=Calculator!C9,D201-E201,"")</f>
        <v>31361.185925476449</v>
      </c>
      <c r="G201" s="28">
        <f>IF(195&lt;=Calculator!C9,G200-F201,"")</f>
        <v>1666988.3307051465</v>
      </c>
    </row>
    <row r="202" spans="2:7" x14ac:dyDescent="0.25">
      <c r="B202" s="29">
        <f>IF(196&lt;=Calculator!C9,196,"")</f>
        <v>196</v>
      </c>
      <c r="C202" s="30">
        <f>IF(196&lt;=Calculator!C9,EDATE(Calculator!C10,196-1),"")</f>
        <v>52140</v>
      </c>
      <c r="D202" s="31">
        <f>IF(196&lt;=Calculator!C9,Calculator!C14,"")</f>
        <v>43391.161668276698</v>
      </c>
      <c r="E202" s="31">
        <f>IF(196&lt;=Calculator!C9,G201*Calculator!C11,"")</f>
        <v>11807.834009161455</v>
      </c>
      <c r="F202" s="31">
        <f>IF(196&lt;=Calculator!C9,D202-E202,"")</f>
        <v>31583.327659115243</v>
      </c>
      <c r="G202" s="31">
        <f>IF(196&lt;=Calculator!C9,G201-F202,"")</f>
        <v>1635405.0030460313</v>
      </c>
    </row>
    <row r="203" spans="2:7" x14ac:dyDescent="0.25">
      <c r="B203" s="26">
        <f>IF(197&lt;=Calculator!C9,197,"")</f>
        <v>197</v>
      </c>
      <c r="C203" s="27">
        <f>IF(197&lt;=Calculator!C9,EDATE(Calculator!C10,197-1),"")</f>
        <v>52171</v>
      </c>
      <c r="D203" s="28">
        <f>IF(197&lt;=Calculator!C9,Calculator!C14,"")</f>
        <v>43391.161668276698</v>
      </c>
      <c r="E203" s="28">
        <f>IF(197&lt;=Calculator!C9,G202*Calculator!C11,"")</f>
        <v>11584.118771576057</v>
      </c>
      <c r="F203" s="28">
        <f>IF(197&lt;=Calculator!C9,D203-E203,"")</f>
        <v>31807.042896700641</v>
      </c>
      <c r="G203" s="28">
        <f>IF(197&lt;=Calculator!C9,G202-F203,"")</f>
        <v>1603597.9601493308</v>
      </c>
    </row>
    <row r="204" spans="2:7" x14ac:dyDescent="0.25">
      <c r="B204" s="29">
        <f>IF(198&lt;=Calculator!C9,198,"")</f>
        <v>198</v>
      </c>
      <c r="C204" s="30">
        <f>IF(198&lt;=Calculator!C9,EDATE(Calculator!C10,198-1),"")</f>
        <v>52201</v>
      </c>
      <c r="D204" s="31">
        <f>IF(198&lt;=Calculator!C9,Calculator!C14,"")</f>
        <v>43391.161668276698</v>
      </c>
      <c r="E204" s="31">
        <f>IF(198&lt;=Calculator!C9,G203*Calculator!C11,"")</f>
        <v>11358.818884391094</v>
      </c>
      <c r="F204" s="31">
        <f>IF(198&lt;=Calculator!C9,D204-E204,"")</f>
        <v>32032.342783885604</v>
      </c>
      <c r="G204" s="31">
        <f>IF(198&lt;=Calculator!C9,G203-F204,"")</f>
        <v>1571565.6173654452</v>
      </c>
    </row>
    <row r="205" spans="2:7" x14ac:dyDescent="0.25">
      <c r="B205" s="26">
        <f>IF(199&lt;=Calculator!C9,199,"")</f>
        <v>199</v>
      </c>
      <c r="C205" s="27">
        <f>IF(199&lt;=Calculator!C9,EDATE(Calculator!C10,199-1),"")</f>
        <v>52232</v>
      </c>
      <c r="D205" s="28">
        <f>IF(199&lt;=Calculator!C9,Calculator!C14,"")</f>
        <v>43391.161668276698</v>
      </c>
      <c r="E205" s="28">
        <f>IF(199&lt;=Calculator!C9,G204*Calculator!C11,"")</f>
        <v>11131.923123005237</v>
      </c>
      <c r="F205" s="28">
        <f>IF(199&lt;=Calculator!C9,D205-E205,"")</f>
        <v>32259.238545271459</v>
      </c>
      <c r="G205" s="28">
        <f>IF(199&lt;=Calculator!C9,G204-F205,"")</f>
        <v>1539306.3788201737</v>
      </c>
    </row>
    <row r="206" spans="2:7" x14ac:dyDescent="0.25">
      <c r="B206" s="29">
        <f>IF(200&lt;=Calculator!C9,200,"")</f>
        <v>200</v>
      </c>
      <c r="C206" s="30">
        <f>IF(200&lt;=Calculator!C9,EDATE(Calculator!C10,200-1),"")</f>
        <v>52263</v>
      </c>
      <c r="D206" s="31">
        <f>IF(200&lt;=Calculator!C9,Calculator!C14,"")</f>
        <v>43391.161668276698</v>
      </c>
      <c r="E206" s="31">
        <f>IF(200&lt;=Calculator!C9,G205*Calculator!C11,"")</f>
        <v>10903.420183309565</v>
      </c>
      <c r="F206" s="31">
        <f>IF(200&lt;=Calculator!C9,D206-E206,"")</f>
        <v>32487.741484967133</v>
      </c>
      <c r="G206" s="31">
        <f>IF(200&lt;=Calculator!C9,G205-F206,"")</f>
        <v>1506818.6373352066</v>
      </c>
    </row>
    <row r="207" spans="2:7" x14ac:dyDescent="0.25">
      <c r="B207" s="26">
        <f>IF(201&lt;=Calculator!C9,201,"")</f>
        <v>201</v>
      </c>
      <c r="C207" s="27">
        <f>IF(201&lt;=Calculator!C9,EDATE(Calculator!C10,201-1),"")</f>
        <v>52291</v>
      </c>
      <c r="D207" s="28">
        <f>IF(201&lt;=Calculator!C9,Calculator!C14,"")</f>
        <v>43391.161668276698</v>
      </c>
      <c r="E207" s="28">
        <f>IF(201&lt;=Calculator!C9,G206*Calculator!C11,"")</f>
        <v>10673.298681124381</v>
      </c>
      <c r="F207" s="28">
        <f>IF(201&lt;=Calculator!C9,D207-E207,"")</f>
        <v>32717.862987152315</v>
      </c>
      <c r="G207" s="28">
        <f>IF(201&lt;=Calculator!C9,G206-F207,"")</f>
        <v>1474100.7743480543</v>
      </c>
    </row>
    <row r="208" spans="2:7" x14ac:dyDescent="0.25">
      <c r="B208" s="29">
        <f>IF(202&lt;=Calculator!C9,202,"")</f>
        <v>202</v>
      </c>
      <c r="C208" s="30">
        <f>IF(202&lt;=Calculator!C9,EDATE(Calculator!C10,202-1),"")</f>
        <v>52322</v>
      </c>
      <c r="D208" s="31">
        <f>IF(202&lt;=Calculator!C9,Calculator!C14,"")</f>
        <v>43391.161668276698</v>
      </c>
      <c r="E208" s="31">
        <f>IF(202&lt;=Calculator!C9,G207*Calculator!C11,"")</f>
        <v>10441.547151632052</v>
      </c>
      <c r="F208" s="31">
        <f>IF(202&lt;=Calculator!C9,D208-E208,"")</f>
        <v>32949.614516644644</v>
      </c>
      <c r="G208" s="31">
        <f>IF(202&lt;=Calculator!C9,G207-F208,"")</f>
        <v>1441151.1598314096</v>
      </c>
    </row>
    <row r="209" spans="2:7" x14ac:dyDescent="0.25">
      <c r="B209" s="26">
        <f>IF(203&lt;=Calculator!C9,203,"")</f>
        <v>203</v>
      </c>
      <c r="C209" s="27">
        <f>IF(203&lt;=Calculator!C9,EDATE(Calculator!C10,203-1),"")</f>
        <v>52352</v>
      </c>
      <c r="D209" s="28">
        <f>IF(203&lt;=Calculator!C9,Calculator!C14,"")</f>
        <v>43391.161668276698</v>
      </c>
      <c r="E209" s="28">
        <f>IF(203&lt;=Calculator!C9,G208*Calculator!C11,"")</f>
        <v>10208.154048805818</v>
      </c>
      <c r="F209" s="28">
        <f>IF(203&lt;=Calculator!C9,D209-E209,"")</f>
        <v>33183.007619470882</v>
      </c>
      <c r="G209" s="28">
        <f>IF(203&lt;=Calculator!C9,G208-F209,"")</f>
        <v>1407968.1522119388</v>
      </c>
    </row>
    <row r="210" spans="2:7" x14ac:dyDescent="0.25">
      <c r="B210" s="29">
        <f>IF(204&lt;=Calculator!C9,204,"")</f>
        <v>204</v>
      </c>
      <c r="C210" s="30">
        <f>IF(204&lt;=Calculator!C9,EDATE(Calculator!C10,204-1),"")</f>
        <v>52383</v>
      </c>
      <c r="D210" s="31">
        <f>IF(204&lt;=Calculator!C9,Calculator!C14,"")</f>
        <v>43391.161668276698</v>
      </c>
      <c r="E210" s="31">
        <f>IF(204&lt;=Calculator!C9,G209*Calculator!C11,"")</f>
        <v>9973.1077448345677</v>
      </c>
      <c r="F210" s="31">
        <f>IF(204&lt;=Calculator!C9,D210-E210,"")</f>
        <v>33418.05392344213</v>
      </c>
      <c r="G210" s="31">
        <f>IF(204&lt;=Calculator!C9,G209-F210,"")</f>
        <v>1374550.0982884967</v>
      </c>
    </row>
    <row r="211" spans="2:7" x14ac:dyDescent="0.25">
      <c r="B211" s="26">
        <f>IF(205&lt;=Calculator!C9,205,"")</f>
        <v>205</v>
      </c>
      <c r="C211" s="27">
        <f>IF(205&lt;=Calculator!C9,EDATE(Calculator!C10,205-1),"")</f>
        <v>52413</v>
      </c>
      <c r="D211" s="28">
        <f>IF(205&lt;=Calculator!C9,Calculator!C14,"")</f>
        <v>43391.161668276698</v>
      </c>
      <c r="E211" s="28">
        <f>IF(205&lt;=Calculator!C9,G210*Calculator!C11,"")</f>
        <v>9736.3965295435191</v>
      </c>
      <c r="F211" s="28">
        <f>IF(205&lt;=Calculator!C9,D211-E211,"")</f>
        <v>33654.765138733179</v>
      </c>
      <c r="G211" s="28">
        <f>IF(205&lt;=Calculator!C9,G210-F211,"")</f>
        <v>1340895.3331497635</v>
      </c>
    </row>
    <row r="212" spans="2:7" x14ac:dyDescent="0.25">
      <c r="B212" s="29">
        <f>IF(206&lt;=Calculator!C9,206,"")</f>
        <v>206</v>
      </c>
      <c r="C212" s="30">
        <f>IF(206&lt;=Calculator!C9,EDATE(Calculator!C10,206-1),"")</f>
        <v>52444</v>
      </c>
      <c r="D212" s="31">
        <f>IF(206&lt;=Calculator!C9,Calculator!C14,"")</f>
        <v>43391.161668276698</v>
      </c>
      <c r="E212" s="31">
        <f>IF(206&lt;=Calculator!C9,G211*Calculator!C11,"")</f>
        <v>9498.0086098108259</v>
      </c>
      <c r="F212" s="31">
        <f>IF(206&lt;=Calculator!C9,D212-E212,"")</f>
        <v>33893.153058465876</v>
      </c>
      <c r="G212" s="31">
        <f>IF(206&lt;=Calculator!C9,G211-F212,"")</f>
        <v>1307002.1800912977</v>
      </c>
    </row>
    <row r="213" spans="2:7" x14ac:dyDescent="0.25">
      <c r="B213" s="26">
        <f>IF(207&lt;=Calculator!C9,207,"")</f>
        <v>207</v>
      </c>
      <c r="C213" s="27">
        <f>IF(207&lt;=Calculator!C9,EDATE(Calculator!C10,207-1),"")</f>
        <v>52475</v>
      </c>
      <c r="D213" s="28">
        <f>IF(207&lt;=Calculator!C9,Calculator!C14,"")</f>
        <v>43391.161668276698</v>
      </c>
      <c r="E213" s="28">
        <f>IF(207&lt;=Calculator!C9,G212*Calculator!C11,"")</f>
        <v>9257.9321089800269</v>
      </c>
      <c r="F213" s="28">
        <f>IF(207&lt;=Calculator!C9,D213-E213,"")</f>
        <v>34133.229559296669</v>
      </c>
      <c r="G213" s="28">
        <f>IF(207&lt;=Calculator!C9,G212-F213,"")</f>
        <v>1272868.950532001</v>
      </c>
    </row>
    <row r="214" spans="2:7" x14ac:dyDescent="0.25">
      <c r="B214" s="29">
        <f>IF(208&lt;=Calculator!C9,208,"")</f>
        <v>208</v>
      </c>
      <c r="C214" s="30">
        <f>IF(208&lt;=Calculator!C9,EDATE(Calculator!C10,208-1),"")</f>
        <v>52505</v>
      </c>
      <c r="D214" s="31">
        <f>IF(208&lt;=Calculator!C9,Calculator!C14,"")</f>
        <v>43391.161668276698</v>
      </c>
      <c r="E214" s="31">
        <f>IF(208&lt;=Calculator!C9,G213*Calculator!C11,"")</f>
        <v>9016.1550662683403</v>
      </c>
      <c r="F214" s="31">
        <f>IF(208&lt;=Calculator!C9,D214-E214,"")</f>
        <v>34375.006602008361</v>
      </c>
      <c r="G214" s="31">
        <f>IF(208&lt;=Calculator!C9,G213-F214,"")</f>
        <v>1238493.9439299926</v>
      </c>
    </row>
    <row r="215" spans="2:7" x14ac:dyDescent="0.25">
      <c r="B215" s="26">
        <f>IF(209&lt;=Calculator!C9,209,"")</f>
        <v>209</v>
      </c>
      <c r="C215" s="27">
        <f>IF(209&lt;=Calculator!C9,EDATE(Calculator!C10,209-1),"")</f>
        <v>52536</v>
      </c>
      <c r="D215" s="28">
        <f>IF(209&lt;=Calculator!C9,Calculator!C14,"")</f>
        <v>43391.161668276698</v>
      </c>
      <c r="E215" s="28">
        <f>IF(209&lt;=Calculator!C9,G214*Calculator!C11,"")</f>
        <v>8772.6654361707824</v>
      </c>
      <c r="F215" s="28">
        <f>IF(209&lt;=Calculator!C9,D215-E215,"")</f>
        <v>34618.496232105914</v>
      </c>
      <c r="G215" s="28">
        <f>IF(209&lt;=Calculator!C9,G214-F215,"")</f>
        <v>1203875.4476978867</v>
      </c>
    </row>
    <row r="216" spans="2:7" x14ac:dyDescent="0.25">
      <c r="B216" s="29">
        <f>IF(210&lt;=Calculator!C9,210,"")</f>
        <v>210</v>
      </c>
      <c r="C216" s="30">
        <f>IF(210&lt;=Calculator!C9,EDATE(Calculator!C10,210-1),"")</f>
        <v>52566</v>
      </c>
      <c r="D216" s="31">
        <f>IF(210&lt;=Calculator!C9,Calculator!C14,"")</f>
        <v>43391.161668276698</v>
      </c>
      <c r="E216" s="31">
        <f>IF(210&lt;=Calculator!C9,G215*Calculator!C11,"")</f>
        <v>8527.4510878600322</v>
      </c>
      <c r="F216" s="31">
        <f>IF(210&lt;=Calculator!C9,D216-E216,"")</f>
        <v>34863.710580416664</v>
      </c>
      <c r="G216" s="31">
        <f>IF(210&lt;=Calculator!C9,G215-F216,"")</f>
        <v>1169011.73711747</v>
      </c>
    </row>
    <row r="217" spans="2:7" x14ac:dyDescent="0.25">
      <c r="B217" s="26">
        <f>IF(211&lt;=Calculator!C9,211,"")</f>
        <v>211</v>
      </c>
      <c r="C217" s="27">
        <f>IF(211&lt;=Calculator!C9,EDATE(Calculator!C10,211-1),"")</f>
        <v>52597</v>
      </c>
      <c r="D217" s="28">
        <f>IF(211&lt;=Calculator!C9,Calculator!C14,"")</f>
        <v>43391.161668276698</v>
      </c>
      <c r="E217" s="28">
        <f>IF(211&lt;=Calculator!C9,G216*Calculator!C11,"")</f>
        <v>8280.4998045820794</v>
      </c>
      <c r="F217" s="28">
        <f>IF(211&lt;=Calculator!C9,D217-E217,"")</f>
        <v>35110.661863694622</v>
      </c>
      <c r="G217" s="28">
        <f>IF(211&lt;=Calculator!C9,G216-F217,"")</f>
        <v>1133901.0752537753</v>
      </c>
    </row>
    <row r="218" spans="2:7" x14ac:dyDescent="0.25">
      <c r="B218" s="29">
        <f>IF(212&lt;=Calculator!C9,212,"")</f>
        <v>212</v>
      </c>
      <c r="C218" s="30">
        <f>IF(212&lt;=Calculator!C9,EDATE(Calculator!C10,212-1),"")</f>
        <v>52628</v>
      </c>
      <c r="D218" s="31">
        <f>IF(212&lt;=Calculator!C9,Calculator!C14,"")</f>
        <v>43391.161668276698</v>
      </c>
      <c r="E218" s="31">
        <f>IF(212&lt;=Calculator!C9,G217*Calculator!C11,"")</f>
        <v>8031.799283047576</v>
      </c>
      <c r="F218" s="31">
        <f>IF(212&lt;=Calculator!C9,D218-E218,"")</f>
        <v>35359.36238522912</v>
      </c>
      <c r="G218" s="31">
        <f>IF(212&lt;=Calculator!C9,G217-F218,"")</f>
        <v>1098541.7128685461</v>
      </c>
    </row>
    <row r="219" spans="2:7" x14ac:dyDescent="0.25">
      <c r="B219" s="26">
        <f>IF(213&lt;=Calculator!C9,213,"")</f>
        <v>213</v>
      </c>
      <c r="C219" s="27">
        <f>IF(213&lt;=Calculator!C9,EDATE(Calculator!C10,213-1),"")</f>
        <v>52657</v>
      </c>
      <c r="D219" s="28">
        <f>IF(213&lt;=Calculator!C9,Calculator!C14,"")</f>
        <v>43391.161668276698</v>
      </c>
      <c r="E219" s="28">
        <f>IF(213&lt;=Calculator!C9,G218*Calculator!C11,"")</f>
        <v>7781.3371328188687</v>
      </c>
      <c r="F219" s="28">
        <f>IF(213&lt;=Calculator!C9,D219-E219,"")</f>
        <v>35609.824535457832</v>
      </c>
      <c r="G219" s="28">
        <f>IF(213&lt;=Calculator!C9,G218-F219,"")</f>
        <v>1062931.8883330883</v>
      </c>
    </row>
    <row r="220" spans="2:7" x14ac:dyDescent="0.25">
      <c r="B220" s="29">
        <f>IF(214&lt;=Calculator!C9,214,"")</f>
        <v>214</v>
      </c>
      <c r="C220" s="30">
        <f>IF(214&lt;=Calculator!C9,EDATE(Calculator!C10,214-1),"")</f>
        <v>52688</v>
      </c>
      <c r="D220" s="31">
        <f>IF(214&lt;=Calculator!C9,Calculator!C14,"")</f>
        <v>43391.161668276698</v>
      </c>
      <c r="E220" s="31">
        <f>IF(214&lt;=Calculator!C9,G219*Calculator!C11,"")</f>
        <v>7529.1008756927095</v>
      </c>
      <c r="F220" s="31">
        <f>IF(214&lt;=Calculator!C9,D220-E220,"")</f>
        <v>35862.060792583987</v>
      </c>
      <c r="G220" s="31">
        <f>IF(214&lt;=Calculator!C9,G219-F220,"")</f>
        <v>1027069.8275405043</v>
      </c>
    </row>
    <row r="221" spans="2:7" x14ac:dyDescent="0.25">
      <c r="B221" s="26">
        <f>IF(215&lt;=Calculator!C9,215,"")</f>
        <v>215</v>
      </c>
      <c r="C221" s="27">
        <f>IF(215&lt;=Calculator!C9,EDATE(Calculator!C10,215-1),"")</f>
        <v>52718</v>
      </c>
      <c r="D221" s="28">
        <f>IF(215&lt;=Calculator!C9,Calculator!C14,"")</f>
        <v>43391.161668276698</v>
      </c>
      <c r="E221" s="28">
        <f>IF(215&lt;=Calculator!C9,G220*Calculator!C11,"")</f>
        <v>7275.0779450785722</v>
      </c>
      <c r="F221" s="28">
        <f>IF(215&lt;=Calculator!C9,D221-E221,"")</f>
        <v>36116.083723198128</v>
      </c>
      <c r="G221" s="28">
        <f>IF(215&lt;=Calculator!C9,G220-F221,"")</f>
        <v>990953.74381730612</v>
      </c>
    </row>
    <row r="222" spans="2:7" x14ac:dyDescent="0.25">
      <c r="B222" s="29">
        <f>IF(216&lt;=Calculator!C9,216,"")</f>
        <v>216</v>
      </c>
      <c r="C222" s="30">
        <f>IF(216&lt;=Calculator!C9,EDATE(Calculator!C10,216-1),"")</f>
        <v>52749</v>
      </c>
      <c r="D222" s="31">
        <f>IF(216&lt;=Calculator!C9,Calculator!C14,"")</f>
        <v>43391.161668276698</v>
      </c>
      <c r="E222" s="31">
        <f>IF(216&lt;=Calculator!C9,G221*Calculator!C11,"")</f>
        <v>7019.2556853725855</v>
      </c>
      <c r="F222" s="31">
        <f>IF(216&lt;=Calculator!C9,D222-E222,"")</f>
        <v>36371.905982904114</v>
      </c>
      <c r="G222" s="31">
        <f>IF(216&lt;=Calculator!C9,G221-F222,"")</f>
        <v>954581.83783440199</v>
      </c>
    </row>
    <row r="223" spans="2:7" x14ac:dyDescent="0.25">
      <c r="B223" s="26">
        <f>IF(217&lt;=Calculator!C9,217,"")</f>
        <v>217</v>
      </c>
      <c r="C223" s="27">
        <f>IF(217&lt;=Calculator!C9,EDATE(Calculator!C10,217-1),"")</f>
        <v>52779</v>
      </c>
      <c r="D223" s="28">
        <f>IF(217&lt;=Calculator!C9,Calculator!C14,"")</f>
        <v>43391.161668276698</v>
      </c>
      <c r="E223" s="28">
        <f>IF(217&lt;=Calculator!C9,G222*Calculator!C11,"")</f>
        <v>6761.621351327015</v>
      </c>
      <c r="F223" s="28">
        <f>IF(217&lt;=Calculator!C9,D223-E223,"")</f>
        <v>36629.540316949686</v>
      </c>
      <c r="G223" s="28">
        <f>IF(217&lt;=Calculator!C9,G222-F223,"")</f>
        <v>917952.29751745227</v>
      </c>
    </row>
    <row r="224" spans="2:7" x14ac:dyDescent="0.25">
      <c r="B224" s="29">
        <f>IF(218&lt;=Calculator!C9,218,"")</f>
        <v>218</v>
      </c>
      <c r="C224" s="30">
        <f>IF(218&lt;=Calculator!C9,EDATE(Calculator!C10,218-1),"")</f>
        <v>52810</v>
      </c>
      <c r="D224" s="31">
        <f>IF(218&lt;=Calculator!C9,Calculator!C14,"")</f>
        <v>43391.161668276698</v>
      </c>
      <c r="E224" s="31">
        <f>IF(218&lt;=Calculator!C9,G223*Calculator!C11,"")</f>
        <v>6502.1621074152872</v>
      </c>
      <c r="F224" s="31">
        <f>IF(218&lt;=Calculator!C9,D224-E224,"")</f>
        <v>36888.999560861412</v>
      </c>
      <c r="G224" s="31">
        <f>IF(218&lt;=Calculator!C9,G223-F224,"")</f>
        <v>881063.29795659089</v>
      </c>
    </row>
    <row r="225" spans="2:7" x14ac:dyDescent="0.25">
      <c r="B225" s="26">
        <f>IF(219&lt;=Calculator!C9,219,"")</f>
        <v>219</v>
      </c>
      <c r="C225" s="27">
        <f>IF(219&lt;=Calculator!C9,EDATE(Calculator!C10,219-1),"")</f>
        <v>52841</v>
      </c>
      <c r="D225" s="28">
        <f>IF(219&lt;=Calculator!C9,Calculator!C14,"")</f>
        <v>43391.161668276698</v>
      </c>
      <c r="E225" s="28">
        <f>IF(219&lt;=Calculator!C9,G224*Calculator!C11,"")</f>
        <v>6240.8650271925189</v>
      </c>
      <c r="F225" s="28">
        <f>IF(219&lt;=Calculator!C9,D225-E225,"")</f>
        <v>37150.296641084176</v>
      </c>
      <c r="G225" s="28">
        <f>IF(219&lt;=Calculator!C9,G224-F225,"")</f>
        <v>843913.00131550676</v>
      </c>
    </row>
    <row r="226" spans="2:7" x14ac:dyDescent="0.25">
      <c r="B226" s="29">
        <f>IF(220&lt;=Calculator!C9,220,"")</f>
        <v>220</v>
      </c>
      <c r="C226" s="30">
        <f>IF(220&lt;=Calculator!C9,EDATE(Calculator!C10,220-1),"")</f>
        <v>52871</v>
      </c>
      <c r="D226" s="31">
        <f>IF(220&lt;=Calculator!C9,Calculator!C14,"")</f>
        <v>43391.161668276698</v>
      </c>
      <c r="E226" s="31">
        <f>IF(220&lt;=Calculator!C9,G225*Calculator!C11,"")</f>
        <v>5977.7170926515064</v>
      </c>
      <c r="F226" s="31">
        <f>IF(220&lt;=Calculator!C9,D226-E226,"")</f>
        <v>37413.444575625195</v>
      </c>
      <c r="G226" s="31">
        <f>IF(220&lt;=Calculator!C9,G225-F226,"")</f>
        <v>806499.55673988152</v>
      </c>
    </row>
    <row r="227" spans="2:7" x14ac:dyDescent="0.25">
      <c r="B227" s="26">
        <f>IF(221&lt;=Calculator!C9,221,"")</f>
        <v>221</v>
      </c>
      <c r="C227" s="27">
        <f>IF(221&lt;=Calculator!C9,EDATE(Calculator!C10,221-1),"")</f>
        <v>52902</v>
      </c>
      <c r="D227" s="28">
        <f>IF(221&lt;=Calculator!C9,Calculator!C14,"")</f>
        <v>43391.161668276698</v>
      </c>
      <c r="E227" s="28">
        <f>IF(221&lt;=Calculator!C9,G226*Calculator!C11,"")</f>
        <v>5712.7051935741611</v>
      </c>
      <c r="F227" s="28">
        <f>IF(221&lt;=Calculator!C9,D227-E227,"")</f>
        <v>37678.456474702536</v>
      </c>
      <c r="G227" s="28">
        <f>IF(221&lt;=Calculator!C9,G226-F227,"")</f>
        <v>768821.10026517895</v>
      </c>
    </row>
    <row r="228" spans="2:7" x14ac:dyDescent="0.25">
      <c r="B228" s="29">
        <f>IF(222&lt;=Calculator!C9,222,"")</f>
        <v>222</v>
      </c>
      <c r="C228" s="30">
        <f>IF(222&lt;=Calculator!C9,EDATE(Calculator!C10,222-1),"")</f>
        <v>52932</v>
      </c>
      <c r="D228" s="31">
        <f>IF(222&lt;=Calculator!C9,Calculator!C14,"")</f>
        <v>43391.161668276698</v>
      </c>
      <c r="E228" s="31">
        <f>IF(222&lt;=Calculator!C9,G227*Calculator!C11,"")</f>
        <v>5445.8161268783515</v>
      </c>
      <c r="F228" s="31">
        <f>IF(222&lt;=Calculator!C9,D228-E228,"")</f>
        <v>37945.345541398347</v>
      </c>
      <c r="G228" s="31">
        <f>IF(222&lt;=Calculator!C9,G227-F228,"")</f>
        <v>730875.75472378056</v>
      </c>
    </row>
    <row r="229" spans="2:7" x14ac:dyDescent="0.25">
      <c r="B229" s="26">
        <f>IF(223&lt;=Calculator!C9,223,"")</f>
        <v>223</v>
      </c>
      <c r="C229" s="27">
        <f>IF(223&lt;=Calculator!C9,EDATE(Calculator!C10,223-1),"")</f>
        <v>52963</v>
      </c>
      <c r="D229" s="28">
        <f>IF(223&lt;=Calculator!C9,Calculator!C14,"")</f>
        <v>43391.161668276698</v>
      </c>
      <c r="E229" s="28">
        <f>IF(223&lt;=Calculator!C9,G228*Calculator!C11,"")</f>
        <v>5177.0365959601122</v>
      </c>
      <c r="F229" s="28">
        <f>IF(223&lt;=Calculator!C9,D229-E229,"")</f>
        <v>38214.125072316587</v>
      </c>
      <c r="G229" s="28">
        <f>IF(223&lt;=Calculator!C9,G228-F229,"")</f>
        <v>692661.62965146394</v>
      </c>
    </row>
    <row r="230" spans="2:7" x14ac:dyDescent="0.25">
      <c r="B230" s="29">
        <f>IF(224&lt;=Calculator!C9,224,"")</f>
        <v>224</v>
      </c>
      <c r="C230" s="30">
        <f>IF(224&lt;=Calculator!C9,EDATE(Calculator!C10,224-1),"")</f>
        <v>52994</v>
      </c>
      <c r="D230" s="31">
        <f>IF(224&lt;=Calculator!C9,Calculator!C14,"")</f>
        <v>43391.161668276698</v>
      </c>
      <c r="E230" s="31">
        <f>IF(224&lt;=Calculator!C9,G229*Calculator!C11,"")</f>
        <v>4906.3532100312032</v>
      </c>
      <c r="F230" s="31">
        <f>IF(224&lt;=Calculator!C9,D230-E230,"")</f>
        <v>38484.808458245498</v>
      </c>
      <c r="G230" s="31">
        <f>IF(224&lt;=Calculator!C9,G229-F230,"")</f>
        <v>654176.82119321846</v>
      </c>
    </row>
    <row r="231" spans="2:7" x14ac:dyDescent="0.25">
      <c r="B231" s="26">
        <f>IF(225&lt;=Calculator!C9,225,"")</f>
        <v>225</v>
      </c>
      <c r="C231" s="27">
        <f>IF(225&lt;=Calculator!C9,EDATE(Calculator!C10,225-1),"")</f>
        <v>53022</v>
      </c>
      <c r="D231" s="28">
        <f>IF(225&lt;=Calculator!C9,Calculator!C14,"")</f>
        <v>43391.161668276698</v>
      </c>
      <c r="E231" s="28">
        <f>IF(225&lt;=Calculator!C9,G230*Calculator!C11,"")</f>
        <v>4633.7524834519645</v>
      </c>
      <c r="F231" s="28">
        <f>IF(225&lt;=Calculator!C9,D231-E231,"")</f>
        <v>38757.409184824734</v>
      </c>
      <c r="G231" s="28">
        <f>IF(225&lt;=Calculator!C9,G230-F231,"")</f>
        <v>615419.41200839379</v>
      </c>
    </row>
    <row r="232" spans="2:7" x14ac:dyDescent="0.25">
      <c r="B232" s="29">
        <f>IF(226&lt;=Calculator!C9,226,"")</f>
        <v>226</v>
      </c>
      <c r="C232" s="30">
        <f>IF(226&lt;=Calculator!C9,EDATE(Calculator!C10,226-1),"")</f>
        <v>53053</v>
      </c>
      <c r="D232" s="31">
        <f>IF(226&lt;=Calculator!C9,Calculator!C14,"")</f>
        <v>43391.161668276698</v>
      </c>
      <c r="E232" s="31">
        <f>IF(226&lt;=Calculator!C9,G231*Calculator!C11,"")</f>
        <v>4359.2208350594565</v>
      </c>
      <c r="F232" s="31">
        <f>IF(226&lt;=Calculator!C9,D232-E232,"")</f>
        <v>39031.940833217239</v>
      </c>
      <c r="G232" s="31">
        <f>IF(226&lt;=Calculator!C9,G231-F232,"")</f>
        <v>576387.47117517656</v>
      </c>
    </row>
    <row r="233" spans="2:7" x14ac:dyDescent="0.25">
      <c r="B233" s="26">
        <f>IF(227&lt;=Calculator!C9,227,"")</f>
        <v>227</v>
      </c>
      <c r="C233" s="27">
        <f>IF(227&lt;=Calculator!C9,EDATE(Calculator!C10,227-1),"")</f>
        <v>53083</v>
      </c>
      <c r="D233" s="28">
        <f>IF(227&lt;=Calculator!C9,Calculator!C14,"")</f>
        <v>43391.161668276698</v>
      </c>
      <c r="E233" s="28">
        <f>IF(227&lt;=Calculator!C9,G232*Calculator!C11,"")</f>
        <v>4082.7445874908344</v>
      </c>
      <c r="F233" s="28">
        <f>IF(227&lt;=Calculator!C9,D233-E233,"")</f>
        <v>39308.417080785861</v>
      </c>
      <c r="G233" s="28">
        <f>IF(227&lt;=Calculator!C9,G232-F233,"")</f>
        <v>537079.05409439071</v>
      </c>
    </row>
    <row r="234" spans="2:7" x14ac:dyDescent="0.25">
      <c r="B234" s="29">
        <f>IF(228&lt;=Calculator!C9,228,"")</f>
        <v>228</v>
      </c>
      <c r="C234" s="30">
        <f>IF(228&lt;=Calculator!C9,EDATE(Calculator!C10,228-1),"")</f>
        <v>53114</v>
      </c>
      <c r="D234" s="31">
        <f>IF(228&lt;=Calculator!C9,Calculator!C14,"")</f>
        <v>43391.161668276698</v>
      </c>
      <c r="E234" s="31">
        <f>IF(228&lt;=Calculator!C9,G233*Calculator!C11,"")</f>
        <v>3804.3099665019345</v>
      </c>
      <c r="F234" s="31">
        <f>IF(228&lt;=Calculator!C9,D234-E234,"")</f>
        <v>39586.851701774765</v>
      </c>
      <c r="G234" s="31">
        <f>IF(228&lt;=Calculator!C9,G233-F234,"")</f>
        <v>497492.20239261596</v>
      </c>
    </row>
    <row r="235" spans="2:7" x14ac:dyDescent="0.25">
      <c r="B235" s="26">
        <f>IF(229&lt;=Calculator!C9,229,"")</f>
        <v>229</v>
      </c>
      <c r="C235" s="27">
        <f>IF(229&lt;=Calculator!C9,EDATE(Calculator!C10,229-1),"")</f>
        <v>53144</v>
      </c>
      <c r="D235" s="28">
        <f>IF(229&lt;=Calculator!C9,Calculator!C14,"")</f>
        <v>43391.161668276698</v>
      </c>
      <c r="E235" s="28">
        <f>IF(229&lt;=Calculator!C9,G234*Calculator!C11,"")</f>
        <v>3523.9031002810298</v>
      </c>
      <c r="F235" s="28">
        <f>IF(229&lt;=Calculator!C9,D235-E235,"")</f>
        <v>39867.258567995668</v>
      </c>
      <c r="G235" s="28">
        <f>IF(229&lt;=Calculator!C9,G234-F235,"")</f>
        <v>457624.94382462028</v>
      </c>
    </row>
    <row r="236" spans="2:7" x14ac:dyDescent="0.25">
      <c r="B236" s="29">
        <f>IF(230&lt;=Calculator!C9,230,"")</f>
        <v>230</v>
      </c>
      <c r="C236" s="30">
        <f>IF(230&lt;=Calculator!C9,EDATE(Calculator!C10,230-1),"")</f>
        <v>53175</v>
      </c>
      <c r="D236" s="31">
        <f>IF(230&lt;=Calculator!C9,Calculator!C14,"")</f>
        <v>43391.161668276698</v>
      </c>
      <c r="E236" s="31">
        <f>IF(230&lt;=Calculator!C9,G235*Calculator!C11,"")</f>
        <v>3241.5100187577273</v>
      </c>
      <c r="F236" s="31">
        <f>IF(230&lt;=Calculator!C9,D236-E236,"")</f>
        <v>40149.651649518972</v>
      </c>
      <c r="G236" s="31">
        <f>IF(230&lt;=Calculator!C9,G235-F236,"")</f>
        <v>417475.29217510129</v>
      </c>
    </row>
    <row r="237" spans="2:7" x14ac:dyDescent="0.25">
      <c r="B237" s="26">
        <f>IF(231&lt;=Calculator!C9,231,"")</f>
        <v>231</v>
      </c>
      <c r="C237" s="27">
        <f>IF(231&lt;=Calculator!C9,EDATE(Calculator!C10,231-1),"")</f>
        <v>53206</v>
      </c>
      <c r="D237" s="28">
        <f>IF(231&lt;=Calculator!C9,Calculator!C14,"")</f>
        <v>43391.161668276698</v>
      </c>
      <c r="E237" s="28">
        <f>IF(231&lt;=Calculator!C9,G236*Calculator!C11,"")</f>
        <v>2957.1166529069678</v>
      </c>
      <c r="F237" s="28">
        <f>IF(231&lt;=Calculator!C9,D237-E237,"")</f>
        <v>40434.045015369731</v>
      </c>
      <c r="G237" s="28">
        <f>IF(231&lt;=Calculator!C9,G236-F237,"")</f>
        <v>377041.24715973157</v>
      </c>
    </row>
    <row r="238" spans="2:7" x14ac:dyDescent="0.25">
      <c r="B238" s="29">
        <f>IF(232&lt;=Calculator!C9,232,"")</f>
        <v>232</v>
      </c>
      <c r="C238" s="30">
        <f>IF(232&lt;=Calculator!C9,EDATE(Calculator!C10,232-1),"")</f>
        <v>53236</v>
      </c>
      <c r="D238" s="31">
        <f>IF(232&lt;=Calculator!C9,Calculator!C14,"")</f>
        <v>43391.161668276698</v>
      </c>
      <c r="E238" s="31">
        <f>IF(232&lt;=Calculator!C9,G237*Calculator!C11,"")</f>
        <v>2670.7088340480987</v>
      </c>
      <c r="F238" s="31">
        <f>IF(232&lt;=Calculator!C9,D238-E238,"")</f>
        <v>40720.452834228599</v>
      </c>
      <c r="G238" s="31">
        <f>IF(232&lt;=Calculator!C9,G237-F238,"")</f>
        <v>336320.794325503</v>
      </c>
    </row>
    <row r="239" spans="2:7" x14ac:dyDescent="0.25">
      <c r="B239" s="26">
        <f>IF(233&lt;=Calculator!C9,233,"")</f>
        <v>233</v>
      </c>
      <c r="C239" s="27">
        <f>IF(233&lt;=Calculator!C9,EDATE(Calculator!C10,233-1),"")</f>
        <v>53267</v>
      </c>
      <c r="D239" s="28">
        <f>IF(233&lt;=Calculator!C9,Calculator!C14,"")</f>
        <v>43391.161668276698</v>
      </c>
      <c r="E239" s="28">
        <f>IF(233&lt;=Calculator!C9,G238*Calculator!C11,"")</f>
        <v>2382.2722931389799</v>
      </c>
      <c r="F239" s="28">
        <f>IF(233&lt;=Calculator!C9,D239-E239,"")</f>
        <v>41008.889375137718</v>
      </c>
      <c r="G239" s="28">
        <f>IF(233&lt;=Calculator!C9,G238-F239,"")</f>
        <v>295311.90495036531</v>
      </c>
    </row>
    <row r="240" spans="2:7" x14ac:dyDescent="0.25">
      <c r="B240" s="29">
        <f>IF(234&lt;=Calculator!C9,234,"")</f>
        <v>234</v>
      </c>
      <c r="C240" s="30">
        <f>IF(234&lt;=Calculator!C9,EDATE(Calculator!C10,234-1),"")</f>
        <v>53297</v>
      </c>
      <c r="D240" s="31">
        <f>IF(234&lt;=Calculator!C9,Calculator!C14,"")</f>
        <v>43391.161668276698</v>
      </c>
      <c r="E240" s="31">
        <f>IF(234&lt;=Calculator!C9,G239*Calculator!C11,"")</f>
        <v>2091.7926600650876</v>
      </c>
      <c r="F240" s="31">
        <f>IF(234&lt;=Calculator!C9,D240-E240,"")</f>
        <v>41299.369008211608</v>
      </c>
      <c r="G240" s="31">
        <f>IF(234&lt;=Calculator!C9,G239-F240,"")</f>
        <v>254012.53594215371</v>
      </c>
    </row>
    <row r="241" spans="2:7" x14ac:dyDescent="0.25">
      <c r="B241" s="26">
        <f>IF(235&lt;=Calculator!C9,235,"")</f>
        <v>235</v>
      </c>
      <c r="C241" s="27">
        <f>IF(235&lt;=Calculator!C9,EDATE(Calculator!C10,235-1),"")</f>
        <v>53328</v>
      </c>
      <c r="D241" s="28">
        <f>IF(235&lt;=Calculator!C9,Calculator!C14,"")</f>
        <v>43391.161668276698</v>
      </c>
      <c r="E241" s="28">
        <f>IF(235&lt;=Calculator!C9,G240*Calculator!C11,"")</f>
        <v>1799.255462923589</v>
      </c>
      <c r="F241" s="28">
        <f>IF(235&lt;=Calculator!C9,D241-E241,"")</f>
        <v>41591.906205353109</v>
      </c>
      <c r="G241" s="28">
        <f>IF(235&lt;=Calculator!C9,G240-F241,"")</f>
        <v>212420.62973680062</v>
      </c>
    </row>
    <row r="242" spans="2:7" x14ac:dyDescent="0.25">
      <c r="B242" s="29">
        <f>IF(236&lt;=Calculator!C9,236,"")</f>
        <v>236</v>
      </c>
      <c r="C242" s="30">
        <f>IF(236&lt;=Calculator!C9,EDATE(Calculator!C10,236-1),"")</f>
        <v>53359</v>
      </c>
      <c r="D242" s="31">
        <f>IF(236&lt;=Calculator!C9,Calculator!C14,"")</f>
        <v>43391.161668276698</v>
      </c>
      <c r="E242" s="31">
        <f>IF(236&lt;=Calculator!C9,G241*Calculator!C11,"")</f>
        <v>1504.6461273023378</v>
      </c>
      <c r="F242" s="31">
        <f>IF(236&lt;=Calculator!C9,D242-E242,"")</f>
        <v>41886.51554097436</v>
      </c>
      <c r="G242" s="31">
        <f>IF(236&lt;=Calculator!C9,G241-F242,"")</f>
        <v>170534.11419582626</v>
      </c>
    </row>
    <row r="243" spans="2:7" x14ac:dyDescent="0.25">
      <c r="B243" s="26">
        <f>IF(237&lt;=Calculator!C9,237,"")</f>
        <v>237</v>
      </c>
      <c r="C243" s="27">
        <f>IF(237&lt;=Calculator!C9,EDATE(Calculator!C10,237-1),"")</f>
        <v>53387</v>
      </c>
      <c r="D243" s="28">
        <f>IF(237&lt;=Calculator!C9,Calculator!C14,"")</f>
        <v>43391.161668276698</v>
      </c>
      <c r="E243" s="28">
        <f>IF(237&lt;=Calculator!C9,G242*Calculator!C11,"")</f>
        <v>1207.9499755537695</v>
      </c>
      <c r="F243" s="28">
        <f>IF(237&lt;=Calculator!C9,D243-E243,"")</f>
        <v>42183.211692722929</v>
      </c>
      <c r="G243" s="28">
        <f>IF(237&lt;=Calculator!C9,G242-F243,"")</f>
        <v>128350.90250310334</v>
      </c>
    </row>
    <row r="244" spans="2:7" x14ac:dyDescent="0.25">
      <c r="B244" s="29">
        <f>IF(238&lt;=Calculator!C9,238,"")</f>
        <v>238</v>
      </c>
      <c r="C244" s="30">
        <f>IF(238&lt;=Calculator!C9,EDATE(Calculator!C10,238-1),"")</f>
        <v>53418</v>
      </c>
      <c r="D244" s="31">
        <f>IF(238&lt;=Calculator!C9,Calculator!C14,"")</f>
        <v>43391.161668276698</v>
      </c>
      <c r="E244" s="31">
        <f>IF(238&lt;=Calculator!C9,G243*Calculator!C11,"")</f>
        <v>909.15222606364875</v>
      </c>
      <c r="F244" s="31">
        <f>IF(238&lt;=Calculator!C9,D244-E244,"")</f>
        <v>42482.00944221305</v>
      </c>
      <c r="G244" s="31">
        <f>IF(238&lt;=Calculator!C9,G243-F244,"")</f>
        <v>85868.893060890288</v>
      </c>
    </row>
    <row r="245" spans="2:7" x14ac:dyDescent="0.25">
      <c r="B245" s="26">
        <f>IF(239&lt;=Calculator!C9,239,"")</f>
        <v>239</v>
      </c>
      <c r="C245" s="27">
        <f>IF(239&lt;=Calculator!C9,EDATE(Calculator!C10,239-1),"")</f>
        <v>53448</v>
      </c>
      <c r="D245" s="28">
        <f>IF(239&lt;=Calculator!C9,Calculator!C14,"")</f>
        <v>43391.161668276698</v>
      </c>
      <c r="E245" s="28">
        <f>IF(239&lt;=Calculator!C9,G244*Calculator!C11,"")</f>
        <v>608.23799251463959</v>
      </c>
      <c r="F245" s="28">
        <f>IF(239&lt;=Calculator!C9,D245-E245,"")</f>
        <v>42782.92367576206</v>
      </c>
      <c r="G245" s="28">
        <f>IF(239&lt;=Calculator!C9,G244-F245,"")</f>
        <v>43085.969385128228</v>
      </c>
    </row>
    <row r="246" spans="2:7" x14ac:dyDescent="0.25">
      <c r="B246" s="29">
        <f>IF(240&lt;=Calculator!C9,240,"")</f>
        <v>240</v>
      </c>
      <c r="C246" s="30">
        <f>IF(240&lt;=Calculator!C9,EDATE(Calculator!C10,240-1),"")</f>
        <v>53479</v>
      </c>
      <c r="D246" s="31">
        <f>IF(240&lt;=Calculator!C9,Calculator!C14,"")</f>
        <v>43391.161668276698</v>
      </c>
      <c r="E246" s="31">
        <f>IF(240&lt;=Calculator!C9,G245*Calculator!C11,"")</f>
        <v>305.19228314465829</v>
      </c>
      <c r="F246" s="31">
        <f>IF(240&lt;=Calculator!C9,D246-E246,"")</f>
        <v>43085.969385132041</v>
      </c>
      <c r="G246" s="31">
        <f>IF(240&lt;=Calculator!C9,G245-F246,"")</f>
        <v>-3.8126017898321152E-9</v>
      </c>
    </row>
    <row r="247" spans="2:7" x14ac:dyDescent="0.25">
      <c r="B247" s="26" t="str">
        <f>IF(241&lt;=Calculator!C9,241,"")</f>
        <v/>
      </c>
      <c r="C247" s="27" t="str">
        <f>IF(241&lt;=Calculator!C9,EDATE(Calculator!C10,241-1),"")</f>
        <v/>
      </c>
      <c r="D247" s="28" t="str">
        <f>IF(241&lt;=Calculator!C9,Calculator!C14,"")</f>
        <v/>
      </c>
      <c r="E247" s="28" t="str">
        <f>IF(241&lt;=Calculator!C9,G246*Calculator!C11,"")</f>
        <v/>
      </c>
      <c r="F247" s="28" t="str">
        <f>IF(241&lt;=Calculator!C9,D247-E247,"")</f>
        <v/>
      </c>
      <c r="G247" s="28" t="str">
        <f>IF(241&lt;=Calculator!C9,G246-F247,"")</f>
        <v/>
      </c>
    </row>
    <row r="248" spans="2:7" x14ac:dyDescent="0.25">
      <c r="B248" s="29" t="str">
        <f>IF(242&lt;=Calculator!C9,242,"")</f>
        <v/>
      </c>
      <c r="C248" s="30" t="str">
        <f>IF(242&lt;=Calculator!C9,EDATE(Calculator!C10,242-1),"")</f>
        <v/>
      </c>
      <c r="D248" s="31" t="str">
        <f>IF(242&lt;=Calculator!C9,Calculator!C14,"")</f>
        <v/>
      </c>
      <c r="E248" s="31" t="str">
        <f>IF(242&lt;=Calculator!C9,G247*Calculator!C11,"")</f>
        <v/>
      </c>
      <c r="F248" s="31" t="str">
        <f>IF(242&lt;=Calculator!C9,D248-E248,"")</f>
        <v/>
      </c>
      <c r="G248" s="31" t="str">
        <f>IF(242&lt;=Calculator!C9,G247-F248,"")</f>
        <v/>
      </c>
    </row>
    <row r="249" spans="2:7" x14ac:dyDescent="0.25">
      <c r="B249" s="26" t="str">
        <f>IF(243&lt;=Calculator!C9,243,"")</f>
        <v/>
      </c>
      <c r="C249" s="27" t="str">
        <f>IF(243&lt;=Calculator!C9,EDATE(Calculator!C10,243-1),"")</f>
        <v/>
      </c>
      <c r="D249" s="28" t="str">
        <f>IF(243&lt;=Calculator!C9,Calculator!C14,"")</f>
        <v/>
      </c>
      <c r="E249" s="28" t="str">
        <f>IF(243&lt;=Calculator!C9,G248*Calculator!C11,"")</f>
        <v/>
      </c>
      <c r="F249" s="28" t="str">
        <f>IF(243&lt;=Calculator!C9,D249-E249,"")</f>
        <v/>
      </c>
      <c r="G249" s="28" t="str">
        <f>IF(243&lt;=Calculator!C9,G248-F249,"")</f>
        <v/>
      </c>
    </row>
    <row r="250" spans="2:7" x14ac:dyDescent="0.25">
      <c r="B250" s="29" t="str">
        <f>IF(244&lt;=Calculator!C9,244,"")</f>
        <v/>
      </c>
      <c r="C250" s="30" t="str">
        <f>IF(244&lt;=Calculator!C9,EDATE(Calculator!C10,244-1),"")</f>
        <v/>
      </c>
      <c r="D250" s="31" t="str">
        <f>IF(244&lt;=Calculator!C9,Calculator!C14,"")</f>
        <v/>
      </c>
      <c r="E250" s="31" t="str">
        <f>IF(244&lt;=Calculator!C9,G249*Calculator!C11,"")</f>
        <v/>
      </c>
      <c r="F250" s="31" t="str">
        <f>IF(244&lt;=Calculator!C9,D250-E250,"")</f>
        <v/>
      </c>
      <c r="G250" s="31" t="str">
        <f>IF(244&lt;=Calculator!C9,G249-F250,"")</f>
        <v/>
      </c>
    </row>
    <row r="251" spans="2:7" x14ac:dyDescent="0.25">
      <c r="B251" s="26" t="str">
        <f>IF(245&lt;=Calculator!C9,245,"")</f>
        <v/>
      </c>
      <c r="C251" s="27" t="str">
        <f>IF(245&lt;=Calculator!C9,EDATE(Calculator!C10,245-1),"")</f>
        <v/>
      </c>
      <c r="D251" s="28" t="str">
        <f>IF(245&lt;=Calculator!C9,Calculator!C14,"")</f>
        <v/>
      </c>
      <c r="E251" s="28" t="str">
        <f>IF(245&lt;=Calculator!C9,G250*Calculator!C11,"")</f>
        <v/>
      </c>
      <c r="F251" s="28" t="str">
        <f>IF(245&lt;=Calculator!C9,D251-E251,"")</f>
        <v/>
      </c>
      <c r="G251" s="28" t="str">
        <f>IF(245&lt;=Calculator!C9,G250-F251,"")</f>
        <v/>
      </c>
    </row>
    <row r="252" spans="2:7" x14ac:dyDescent="0.25">
      <c r="B252" s="29" t="str">
        <f>IF(246&lt;=Calculator!C9,246,"")</f>
        <v/>
      </c>
      <c r="C252" s="30" t="str">
        <f>IF(246&lt;=Calculator!C9,EDATE(Calculator!C10,246-1),"")</f>
        <v/>
      </c>
      <c r="D252" s="31" t="str">
        <f>IF(246&lt;=Calculator!C9,Calculator!C14,"")</f>
        <v/>
      </c>
      <c r="E252" s="31" t="str">
        <f>IF(246&lt;=Calculator!C9,G251*Calculator!C11,"")</f>
        <v/>
      </c>
      <c r="F252" s="31" t="str">
        <f>IF(246&lt;=Calculator!C9,D252-E252,"")</f>
        <v/>
      </c>
      <c r="G252" s="31" t="str">
        <f>IF(246&lt;=Calculator!C9,G251-F252,"")</f>
        <v/>
      </c>
    </row>
    <row r="253" spans="2:7" x14ac:dyDescent="0.25">
      <c r="B253" s="26" t="str">
        <f>IF(247&lt;=Calculator!C9,247,"")</f>
        <v/>
      </c>
      <c r="C253" s="27" t="str">
        <f>IF(247&lt;=Calculator!C9,EDATE(Calculator!C10,247-1),"")</f>
        <v/>
      </c>
      <c r="D253" s="28" t="str">
        <f>IF(247&lt;=Calculator!C9,Calculator!C14,"")</f>
        <v/>
      </c>
      <c r="E253" s="28" t="str">
        <f>IF(247&lt;=Calculator!C9,G252*Calculator!C11,"")</f>
        <v/>
      </c>
      <c r="F253" s="28" t="str">
        <f>IF(247&lt;=Calculator!C9,D253-E253,"")</f>
        <v/>
      </c>
      <c r="G253" s="28" t="str">
        <f>IF(247&lt;=Calculator!C9,G252-F253,"")</f>
        <v/>
      </c>
    </row>
    <row r="254" spans="2:7" x14ac:dyDescent="0.25">
      <c r="B254" s="29" t="str">
        <f>IF(248&lt;=Calculator!C9,248,"")</f>
        <v/>
      </c>
      <c r="C254" s="30" t="str">
        <f>IF(248&lt;=Calculator!C9,EDATE(Calculator!C10,248-1),"")</f>
        <v/>
      </c>
      <c r="D254" s="31" t="str">
        <f>IF(248&lt;=Calculator!C9,Calculator!C14,"")</f>
        <v/>
      </c>
      <c r="E254" s="31" t="str">
        <f>IF(248&lt;=Calculator!C9,G253*Calculator!C11,"")</f>
        <v/>
      </c>
      <c r="F254" s="31" t="str">
        <f>IF(248&lt;=Calculator!C9,D254-E254,"")</f>
        <v/>
      </c>
      <c r="G254" s="31" t="str">
        <f>IF(248&lt;=Calculator!C9,G253-F254,"")</f>
        <v/>
      </c>
    </row>
    <row r="255" spans="2:7" x14ac:dyDescent="0.25">
      <c r="B255" s="26" t="str">
        <f>IF(249&lt;=Calculator!C9,249,"")</f>
        <v/>
      </c>
      <c r="C255" s="27" t="str">
        <f>IF(249&lt;=Calculator!C9,EDATE(Calculator!C10,249-1),"")</f>
        <v/>
      </c>
      <c r="D255" s="28" t="str">
        <f>IF(249&lt;=Calculator!C9,Calculator!C14,"")</f>
        <v/>
      </c>
      <c r="E255" s="28" t="str">
        <f>IF(249&lt;=Calculator!C9,G254*Calculator!C11,"")</f>
        <v/>
      </c>
      <c r="F255" s="28" t="str">
        <f>IF(249&lt;=Calculator!C9,D255-E255,"")</f>
        <v/>
      </c>
      <c r="G255" s="28" t="str">
        <f>IF(249&lt;=Calculator!C9,G254-F255,"")</f>
        <v/>
      </c>
    </row>
    <row r="256" spans="2:7" x14ac:dyDescent="0.25">
      <c r="B256" s="29" t="str">
        <f>IF(250&lt;=Calculator!C9,250,"")</f>
        <v/>
      </c>
      <c r="C256" s="30" t="str">
        <f>IF(250&lt;=Calculator!C9,EDATE(Calculator!C10,250-1),"")</f>
        <v/>
      </c>
      <c r="D256" s="31" t="str">
        <f>IF(250&lt;=Calculator!C9,Calculator!C14,"")</f>
        <v/>
      </c>
      <c r="E256" s="31" t="str">
        <f>IF(250&lt;=Calculator!C9,G255*Calculator!C11,"")</f>
        <v/>
      </c>
      <c r="F256" s="31" t="str">
        <f>IF(250&lt;=Calculator!C9,D256-E256,"")</f>
        <v/>
      </c>
      <c r="G256" s="31" t="str">
        <f>IF(250&lt;=Calculator!C9,G255-F256,"")</f>
        <v/>
      </c>
    </row>
    <row r="257" spans="2:7" x14ac:dyDescent="0.25">
      <c r="B257" s="26" t="str">
        <f>IF(251&lt;=Calculator!C9,251,"")</f>
        <v/>
      </c>
      <c r="C257" s="27" t="str">
        <f>IF(251&lt;=Calculator!C9,EDATE(Calculator!C10,251-1),"")</f>
        <v/>
      </c>
      <c r="D257" s="28" t="str">
        <f>IF(251&lt;=Calculator!C9,Calculator!C14,"")</f>
        <v/>
      </c>
      <c r="E257" s="28" t="str">
        <f>IF(251&lt;=Calculator!C9,G256*Calculator!C11,"")</f>
        <v/>
      </c>
      <c r="F257" s="28" t="str">
        <f>IF(251&lt;=Calculator!C9,D257-E257,"")</f>
        <v/>
      </c>
      <c r="G257" s="28" t="str">
        <f>IF(251&lt;=Calculator!C9,G256-F257,"")</f>
        <v/>
      </c>
    </row>
    <row r="258" spans="2:7" x14ac:dyDescent="0.25">
      <c r="B258" s="29" t="str">
        <f>IF(252&lt;=Calculator!C9,252,"")</f>
        <v/>
      </c>
      <c r="C258" s="30" t="str">
        <f>IF(252&lt;=Calculator!C9,EDATE(Calculator!C10,252-1),"")</f>
        <v/>
      </c>
      <c r="D258" s="31" t="str">
        <f>IF(252&lt;=Calculator!C9,Calculator!C14,"")</f>
        <v/>
      </c>
      <c r="E258" s="31" t="str">
        <f>IF(252&lt;=Calculator!C9,G257*Calculator!C11,"")</f>
        <v/>
      </c>
      <c r="F258" s="31" t="str">
        <f>IF(252&lt;=Calculator!C9,D258-E258,"")</f>
        <v/>
      </c>
      <c r="G258" s="31" t="str">
        <f>IF(252&lt;=Calculator!C9,G257-F258,"")</f>
        <v/>
      </c>
    </row>
    <row r="259" spans="2:7" x14ac:dyDescent="0.25">
      <c r="B259" s="26" t="str">
        <f>IF(253&lt;=Calculator!C9,253,"")</f>
        <v/>
      </c>
      <c r="C259" s="27" t="str">
        <f>IF(253&lt;=Calculator!C9,EDATE(Calculator!C10,253-1),"")</f>
        <v/>
      </c>
      <c r="D259" s="28" t="str">
        <f>IF(253&lt;=Calculator!C9,Calculator!C14,"")</f>
        <v/>
      </c>
      <c r="E259" s="28" t="str">
        <f>IF(253&lt;=Calculator!C9,G258*Calculator!C11,"")</f>
        <v/>
      </c>
      <c r="F259" s="28" t="str">
        <f>IF(253&lt;=Calculator!C9,D259-E259,"")</f>
        <v/>
      </c>
      <c r="G259" s="28" t="str">
        <f>IF(253&lt;=Calculator!C9,G258-F259,"")</f>
        <v/>
      </c>
    </row>
    <row r="260" spans="2:7" x14ac:dyDescent="0.25">
      <c r="B260" s="29" t="str">
        <f>IF(254&lt;=Calculator!C9,254,"")</f>
        <v/>
      </c>
      <c r="C260" s="30" t="str">
        <f>IF(254&lt;=Calculator!C9,EDATE(Calculator!C10,254-1),"")</f>
        <v/>
      </c>
      <c r="D260" s="31" t="str">
        <f>IF(254&lt;=Calculator!C9,Calculator!C14,"")</f>
        <v/>
      </c>
      <c r="E260" s="31" t="str">
        <f>IF(254&lt;=Calculator!C9,G259*Calculator!C11,"")</f>
        <v/>
      </c>
      <c r="F260" s="31" t="str">
        <f>IF(254&lt;=Calculator!C9,D260-E260,"")</f>
        <v/>
      </c>
      <c r="G260" s="31" t="str">
        <f>IF(254&lt;=Calculator!C9,G259-F260,"")</f>
        <v/>
      </c>
    </row>
    <row r="261" spans="2:7" x14ac:dyDescent="0.25">
      <c r="B261" s="26" t="str">
        <f>IF(255&lt;=Calculator!C9,255,"")</f>
        <v/>
      </c>
      <c r="C261" s="27" t="str">
        <f>IF(255&lt;=Calculator!C9,EDATE(Calculator!C10,255-1),"")</f>
        <v/>
      </c>
      <c r="D261" s="28" t="str">
        <f>IF(255&lt;=Calculator!C9,Calculator!C14,"")</f>
        <v/>
      </c>
      <c r="E261" s="28" t="str">
        <f>IF(255&lt;=Calculator!C9,G260*Calculator!C11,"")</f>
        <v/>
      </c>
      <c r="F261" s="28" t="str">
        <f>IF(255&lt;=Calculator!C9,D261-E261,"")</f>
        <v/>
      </c>
      <c r="G261" s="28" t="str">
        <f>IF(255&lt;=Calculator!C9,G260-F261,"")</f>
        <v/>
      </c>
    </row>
    <row r="262" spans="2:7" x14ac:dyDescent="0.25">
      <c r="B262" s="29" t="str">
        <f>IF(256&lt;=Calculator!C9,256,"")</f>
        <v/>
      </c>
      <c r="C262" s="30" t="str">
        <f>IF(256&lt;=Calculator!C9,EDATE(Calculator!C10,256-1),"")</f>
        <v/>
      </c>
      <c r="D262" s="31" t="str">
        <f>IF(256&lt;=Calculator!C9,Calculator!C14,"")</f>
        <v/>
      </c>
      <c r="E262" s="31" t="str">
        <f>IF(256&lt;=Calculator!C9,G261*Calculator!C11,"")</f>
        <v/>
      </c>
      <c r="F262" s="31" t="str">
        <f>IF(256&lt;=Calculator!C9,D262-E262,"")</f>
        <v/>
      </c>
      <c r="G262" s="31" t="str">
        <f>IF(256&lt;=Calculator!C9,G261-F262,"")</f>
        <v/>
      </c>
    </row>
    <row r="263" spans="2:7" x14ac:dyDescent="0.25">
      <c r="B263" s="26" t="str">
        <f>IF(257&lt;=Calculator!C9,257,"")</f>
        <v/>
      </c>
      <c r="C263" s="27" t="str">
        <f>IF(257&lt;=Calculator!C9,EDATE(Calculator!C10,257-1),"")</f>
        <v/>
      </c>
      <c r="D263" s="28" t="str">
        <f>IF(257&lt;=Calculator!C9,Calculator!C14,"")</f>
        <v/>
      </c>
      <c r="E263" s="28" t="str">
        <f>IF(257&lt;=Calculator!C9,G262*Calculator!C11,"")</f>
        <v/>
      </c>
      <c r="F263" s="28" t="str">
        <f>IF(257&lt;=Calculator!C9,D263-E263,"")</f>
        <v/>
      </c>
      <c r="G263" s="28" t="str">
        <f>IF(257&lt;=Calculator!C9,G262-F263,"")</f>
        <v/>
      </c>
    </row>
    <row r="264" spans="2:7" x14ac:dyDescent="0.25">
      <c r="B264" s="29" t="str">
        <f>IF(258&lt;=Calculator!C9,258,"")</f>
        <v/>
      </c>
      <c r="C264" s="30" t="str">
        <f>IF(258&lt;=Calculator!C9,EDATE(Calculator!C10,258-1),"")</f>
        <v/>
      </c>
      <c r="D264" s="31" t="str">
        <f>IF(258&lt;=Calculator!C9,Calculator!C14,"")</f>
        <v/>
      </c>
      <c r="E264" s="31" t="str">
        <f>IF(258&lt;=Calculator!C9,G263*Calculator!C11,"")</f>
        <v/>
      </c>
      <c r="F264" s="31" t="str">
        <f>IF(258&lt;=Calculator!C9,D264-E264,"")</f>
        <v/>
      </c>
      <c r="G264" s="31" t="str">
        <f>IF(258&lt;=Calculator!C9,G263-F264,"")</f>
        <v/>
      </c>
    </row>
    <row r="265" spans="2:7" x14ac:dyDescent="0.25">
      <c r="B265" s="26" t="str">
        <f>IF(259&lt;=Calculator!C9,259,"")</f>
        <v/>
      </c>
      <c r="C265" s="27" t="str">
        <f>IF(259&lt;=Calculator!C9,EDATE(Calculator!C10,259-1),"")</f>
        <v/>
      </c>
      <c r="D265" s="28" t="str">
        <f>IF(259&lt;=Calculator!C9,Calculator!C14,"")</f>
        <v/>
      </c>
      <c r="E265" s="28" t="str">
        <f>IF(259&lt;=Calculator!C9,G264*Calculator!C11,"")</f>
        <v/>
      </c>
      <c r="F265" s="28" t="str">
        <f>IF(259&lt;=Calculator!C9,D265-E265,"")</f>
        <v/>
      </c>
      <c r="G265" s="28" t="str">
        <f>IF(259&lt;=Calculator!C9,G264-F265,"")</f>
        <v/>
      </c>
    </row>
    <row r="266" spans="2:7" x14ac:dyDescent="0.25">
      <c r="B266" s="29" t="str">
        <f>IF(260&lt;=Calculator!C9,260,"")</f>
        <v/>
      </c>
      <c r="C266" s="30" t="str">
        <f>IF(260&lt;=Calculator!C9,EDATE(Calculator!C10,260-1),"")</f>
        <v/>
      </c>
      <c r="D266" s="31" t="str">
        <f>IF(260&lt;=Calculator!C9,Calculator!C14,"")</f>
        <v/>
      </c>
      <c r="E266" s="31" t="str">
        <f>IF(260&lt;=Calculator!C9,G265*Calculator!C11,"")</f>
        <v/>
      </c>
      <c r="F266" s="31" t="str">
        <f>IF(260&lt;=Calculator!C9,D266-E266,"")</f>
        <v/>
      </c>
      <c r="G266" s="31" t="str">
        <f>IF(260&lt;=Calculator!C9,G265-F266,"")</f>
        <v/>
      </c>
    </row>
    <row r="267" spans="2:7" x14ac:dyDescent="0.25">
      <c r="B267" s="26" t="str">
        <f>IF(261&lt;=Calculator!C9,261,"")</f>
        <v/>
      </c>
      <c r="C267" s="27" t="str">
        <f>IF(261&lt;=Calculator!C9,EDATE(Calculator!C10,261-1),"")</f>
        <v/>
      </c>
      <c r="D267" s="28" t="str">
        <f>IF(261&lt;=Calculator!C9,Calculator!C14,"")</f>
        <v/>
      </c>
      <c r="E267" s="28" t="str">
        <f>IF(261&lt;=Calculator!C9,G266*Calculator!C11,"")</f>
        <v/>
      </c>
      <c r="F267" s="28" t="str">
        <f>IF(261&lt;=Calculator!C9,D267-E267,"")</f>
        <v/>
      </c>
      <c r="G267" s="28" t="str">
        <f>IF(261&lt;=Calculator!C9,G266-F267,"")</f>
        <v/>
      </c>
    </row>
    <row r="268" spans="2:7" x14ac:dyDescent="0.25">
      <c r="B268" s="29" t="str">
        <f>IF(262&lt;=Calculator!C9,262,"")</f>
        <v/>
      </c>
      <c r="C268" s="30" t="str">
        <f>IF(262&lt;=Calculator!C9,EDATE(Calculator!C10,262-1),"")</f>
        <v/>
      </c>
      <c r="D268" s="31" t="str">
        <f>IF(262&lt;=Calculator!C9,Calculator!C14,"")</f>
        <v/>
      </c>
      <c r="E268" s="31" t="str">
        <f>IF(262&lt;=Calculator!C9,G267*Calculator!C11,"")</f>
        <v/>
      </c>
      <c r="F268" s="31" t="str">
        <f>IF(262&lt;=Calculator!C9,D268-E268,"")</f>
        <v/>
      </c>
      <c r="G268" s="31" t="str">
        <f>IF(262&lt;=Calculator!C9,G267-F268,"")</f>
        <v/>
      </c>
    </row>
    <row r="269" spans="2:7" x14ac:dyDescent="0.25">
      <c r="B269" s="26" t="str">
        <f>IF(263&lt;=Calculator!C9,263,"")</f>
        <v/>
      </c>
      <c r="C269" s="27" t="str">
        <f>IF(263&lt;=Calculator!C9,EDATE(Calculator!C10,263-1),"")</f>
        <v/>
      </c>
      <c r="D269" s="28" t="str">
        <f>IF(263&lt;=Calculator!C9,Calculator!C14,"")</f>
        <v/>
      </c>
      <c r="E269" s="28" t="str">
        <f>IF(263&lt;=Calculator!C9,G268*Calculator!C11,"")</f>
        <v/>
      </c>
      <c r="F269" s="28" t="str">
        <f>IF(263&lt;=Calculator!C9,D269-E269,"")</f>
        <v/>
      </c>
      <c r="G269" s="28" t="str">
        <f>IF(263&lt;=Calculator!C9,G268-F269,"")</f>
        <v/>
      </c>
    </row>
    <row r="270" spans="2:7" x14ac:dyDescent="0.25">
      <c r="B270" s="29" t="str">
        <f>IF(264&lt;=Calculator!C9,264,"")</f>
        <v/>
      </c>
      <c r="C270" s="30" t="str">
        <f>IF(264&lt;=Calculator!C9,EDATE(Calculator!C10,264-1),"")</f>
        <v/>
      </c>
      <c r="D270" s="31" t="str">
        <f>IF(264&lt;=Calculator!C9,Calculator!C14,"")</f>
        <v/>
      </c>
      <c r="E270" s="31" t="str">
        <f>IF(264&lt;=Calculator!C9,G269*Calculator!C11,"")</f>
        <v/>
      </c>
      <c r="F270" s="31" t="str">
        <f>IF(264&lt;=Calculator!C9,D270-E270,"")</f>
        <v/>
      </c>
      <c r="G270" s="31" t="str">
        <f>IF(264&lt;=Calculator!C9,G269-F270,"")</f>
        <v/>
      </c>
    </row>
    <row r="271" spans="2:7" x14ac:dyDescent="0.25">
      <c r="B271" s="26" t="str">
        <f>IF(265&lt;=Calculator!C9,265,"")</f>
        <v/>
      </c>
      <c r="C271" s="27" t="str">
        <f>IF(265&lt;=Calculator!C9,EDATE(Calculator!C10,265-1),"")</f>
        <v/>
      </c>
      <c r="D271" s="28" t="str">
        <f>IF(265&lt;=Calculator!C9,Calculator!C14,"")</f>
        <v/>
      </c>
      <c r="E271" s="28" t="str">
        <f>IF(265&lt;=Calculator!C9,G270*Calculator!C11,"")</f>
        <v/>
      </c>
      <c r="F271" s="28" t="str">
        <f>IF(265&lt;=Calculator!C9,D271-E271,"")</f>
        <v/>
      </c>
      <c r="G271" s="28" t="str">
        <f>IF(265&lt;=Calculator!C9,G270-F271,"")</f>
        <v/>
      </c>
    </row>
    <row r="272" spans="2:7" x14ac:dyDescent="0.25">
      <c r="B272" s="29" t="str">
        <f>IF(266&lt;=Calculator!C9,266,"")</f>
        <v/>
      </c>
      <c r="C272" s="30" t="str">
        <f>IF(266&lt;=Calculator!C9,EDATE(Calculator!C10,266-1),"")</f>
        <v/>
      </c>
      <c r="D272" s="31" t="str">
        <f>IF(266&lt;=Calculator!C9,Calculator!C14,"")</f>
        <v/>
      </c>
      <c r="E272" s="31" t="str">
        <f>IF(266&lt;=Calculator!C9,G271*Calculator!C11,"")</f>
        <v/>
      </c>
      <c r="F272" s="31" t="str">
        <f>IF(266&lt;=Calculator!C9,D272-E272,"")</f>
        <v/>
      </c>
      <c r="G272" s="31" t="str">
        <f>IF(266&lt;=Calculator!C9,G271-F272,"")</f>
        <v/>
      </c>
    </row>
    <row r="273" spans="2:7" x14ac:dyDescent="0.25">
      <c r="B273" s="26" t="str">
        <f>IF(267&lt;=Calculator!C9,267,"")</f>
        <v/>
      </c>
      <c r="C273" s="27" t="str">
        <f>IF(267&lt;=Calculator!C9,EDATE(Calculator!C10,267-1),"")</f>
        <v/>
      </c>
      <c r="D273" s="28" t="str">
        <f>IF(267&lt;=Calculator!C9,Calculator!C14,"")</f>
        <v/>
      </c>
      <c r="E273" s="28" t="str">
        <f>IF(267&lt;=Calculator!C9,G272*Calculator!C11,"")</f>
        <v/>
      </c>
      <c r="F273" s="28" t="str">
        <f>IF(267&lt;=Calculator!C9,D273-E273,"")</f>
        <v/>
      </c>
      <c r="G273" s="28" t="str">
        <f>IF(267&lt;=Calculator!C9,G272-F273,"")</f>
        <v/>
      </c>
    </row>
    <row r="274" spans="2:7" x14ac:dyDescent="0.25">
      <c r="B274" s="29" t="str">
        <f>IF(268&lt;=Calculator!C9,268,"")</f>
        <v/>
      </c>
      <c r="C274" s="30" t="str">
        <f>IF(268&lt;=Calculator!C9,EDATE(Calculator!C10,268-1),"")</f>
        <v/>
      </c>
      <c r="D274" s="31" t="str">
        <f>IF(268&lt;=Calculator!C9,Calculator!C14,"")</f>
        <v/>
      </c>
      <c r="E274" s="31" t="str">
        <f>IF(268&lt;=Calculator!C9,G273*Calculator!C11,"")</f>
        <v/>
      </c>
      <c r="F274" s="31" t="str">
        <f>IF(268&lt;=Calculator!C9,D274-E274,"")</f>
        <v/>
      </c>
      <c r="G274" s="31" t="str">
        <f>IF(268&lt;=Calculator!C9,G273-F274,"")</f>
        <v/>
      </c>
    </row>
    <row r="275" spans="2:7" x14ac:dyDescent="0.25">
      <c r="B275" s="26" t="str">
        <f>IF(269&lt;=Calculator!C9,269,"")</f>
        <v/>
      </c>
      <c r="C275" s="27" t="str">
        <f>IF(269&lt;=Calculator!C9,EDATE(Calculator!C10,269-1),"")</f>
        <v/>
      </c>
      <c r="D275" s="28" t="str">
        <f>IF(269&lt;=Calculator!C9,Calculator!C14,"")</f>
        <v/>
      </c>
      <c r="E275" s="28" t="str">
        <f>IF(269&lt;=Calculator!C9,G274*Calculator!C11,"")</f>
        <v/>
      </c>
      <c r="F275" s="28" t="str">
        <f>IF(269&lt;=Calculator!C9,D275-E275,"")</f>
        <v/>
      </c>
      <c r="G275" s="28" t="str">
        <f>IF(269&lt;=Calculator!C9,G274-F275,"")</f>
        <v/>
      </c>
    </row>
    <row r="276" spans="2:7" x14ac:dyDescent="0.25">
      <c r="B276" s="29" t="str">
        <f>IF(270&lt;=Calculator!C9,270,"")</f>
        <v/>
      </c>
      <c r="C276" s="30" t="str">
        <f>IF(270&lt;=Calculator!C9,EDATE(Calculator!C10,270-1),"")</f>
        <v/>
      </c>
      <c r="D276" s="31" t="str">
        <f>IF(270&lt;=Calculator!C9,Calculator!C14,"")</f>
        <v/>
      </c>
      <c r="E276" s="31" t="str">
        <f>IF(270&lt;=Calculator!C9,G275*Calculator!C11,"")</f>
        <v/>
      </c>
      <c r="F276" s="31" t="str">
        <f>IF(270&lt;=Calculator!C9,D276-E276,"")</f>
        <v/>
      </c>
      <c r="G276" s="31" t="str">
        <f>IF(270&lt;=Calculator!C9,G275-F276,"")</f>
        <v/>
      </c>
    </row>
    <row r="277" spans="2:7" x14ac:dyDescent="0.25">
      <c r="B277" s="26" t="str">
        <f>IF(271&lt;=Calculator!C9,271,"")</f>
        <v/>
      </c>
      <c r="C277" s="27" t="str">
        <f>IF(271&lt;=Calculator!C9,EDATE(Calculator!C10,271-1),"")</f>
        <v/>
      </c>
      <c r="D277" s="28" t="str">
        <f>IF(271&lt;=Calculator!C9,Calculator!C14,"")</f>
        <v/>
      </c>
      <c r="E277" s="28" t="str">
        <f>IF(271&lt;=Calculator!C9,G276*Calculator!C11,"")</f>
        <v/>
      </c>
      <c r="F277" s="28" t="str">
        <f>IF(271&lt;=Calculator!C9,D277-E277,"")</f>
        <v/>
      </c>
      <c r="G277" s="28" t="str">
        <f>IF(271&lt;=Calculator!C9,G276-F277,"")</f>
        <v/>
      </c>
    </row>
    <row r="278" spans="2:7" x14ac:dyDescent="0.25">
      <c r="B278" s="29" t="str">
        <f>IF(272&lt;=Calculator!C9,272,"")</f>
        <v/>
      </c>
      <c r="C278" s="30" t="str">
        <f>IF(272&lt;=Calculator!C9,EDATE(Calculator!C10,272-1),"")</f>
        <v/>
      </c>
      <c r="D278" s="31" t="str">
        <f>IF(272&lt;=Calculator!C9,Calculator!C14,"")</f>
        <v/>
      </c>
      <c r="E278" s="31" t="str">
        <f>IF(272&lt;=Calculator!C9,G277*Calculator!C11,"")</f>
        <v/>
      </c>
      <c r="F278" s="31" t="str">
        <f>IF(272&lt;=Calculator!C9,D278-E278,"")</f>
        <v/>
      </c>
      <c r="G278" s="31" t="str">
        <f>IF(272&lt;=Calculator!C9,G277-F278,"")</f>
        <v/>
      </c>
    </row>
    <row r="279" spans="2:7" x14ac:dyDescent="0.25">
      <c r="B279" s="26" t="str">
        <f>IF(273&lt;=Calculator!C9,273,"")</f>
        <v/>
      </c>
      <c r="C279" s="27" t="str">
        <f>IF(273&lt;=Calculator!C9,EDATE(Calculator!C10,273-1),"")</f>
        <v/>
      </c>
      <c r="D279" s="28" t="str">
        <f>IF(273&lt;=Calculator!C9,Calculator!C14,"")</f>
        <v/>
      </c>
      <c r="E279" s="28" t="str">
        <f>IF(273&lt;=Calculator!C9,G278*Calculator!C11,"")</f>
        <v/>
      </c>
      <c r="F279" s="28" t="str">
        <f>IF(273&lt;=Calculator!C9,D279-E279,"")</f>
        <v/>
      </c>
      <c r="G279" s="28" t="str">
        <f>IF(273&lt;=Calculator!C9,G278-F279,"")</f>
        <v/>
      </c>
    </row>
    <row r="280" spans="2:7" x14ac:dyDescent="0.25">
      <c r="B280" s="29" t="str">
        <f>IF(274&lt;=Calculator!C9,274,"")</f>
        <v/>
      </c>
      <c r="C280" s="30" t="str">
        <f>IF(274&lt;=Calculator!C9,EDATE(Calculator!C10,274-1),"")</f>
        <v/>
      </c>
      <c r="D280" s="31" t="str">
        <f>IF(274&lt;=Calculator!C9,Calculator!C14,"")</f>
        <v/>
      </c>
      <c r="E280" s="31" t="str">
        <f>IF(274&lt;=Calculator!C9,G279*Calculator!C11,"")</f>
        <v/>
      </c>
      <c r="F280" s="31" t="str">
        <f>IF(274&lt;=Calculator!C9,D280-E280,"")</f>
        <v/>
      </c>
      <c r="G280" s="31" t="str">
        <f>IF(274&lt;=Calculator!C9,G279-F280,"")</f>
        <v/>
      </c>
    </row>
    <row r="281" spans="2:7" x14ac:dyDescent="0.25">
      <c r="B281" s="26" t="str">
        <f>IF(275&lt;=Calculator!C9,275,"")</f>
        <v/>
      </c>
      <c r="C281" s="27" t="str">
        <f>IF(275&lt;=Calculator!C9,EDATE(Calculator!C10,275-1),"")</f>
        <v/>
      </c>
      <c r="D281" s="28" t="str">
        <f>IF(275&lt;=Calculator!C9,Calculator!C14,"")</f>
        <v/>
      </c>
      <c r="E281" s="28" t="str">
        <f>IF(275&lt;=Calculator!C9,G280*Calculator!C11,"")</f>
        <v/>
      </c>
      <c r="F281" s="28" t="str">
        <f>IF(275&lt;=Calculator!C9,D281-E281,"")</f>
        <v/>
      </c>
      <c r="G281" s="28" t="str">
        <f>IF(275&lt;=Calculator!C9,G280-F281,"")</f>
        <v/>
      </c>
    </row>
    <row r="282" spans="2:7" x14ac:dyDescent="0.25">
      <c r="B282" s="29" t="str">
        <f>IF(276&lt;=Calculator!C9,276,"")</f>
        <v/>
      </c>
      <c r="C282" s="30" t="str">
        <f>IF(276&lt;=Calculator!C9,EDATE(Calculator!C10,276-1),"")</f>
        <v/>
      </c>
      <c r="D282" s="31" t="str">
        <f>IF(276&lt;=Calculator!C9,Calculator!C14,"")</f>
        <v/>
      </c>
      <c r="E282" s="31" t="str">
        <f>IF(276&lt;=Calculator!C9,G281*Calculator!C11,"")</f>
        <v/>
      </c>
      <c r="F282" s="31" t="str">
        <f>IF(276&lt;=Calculator!C9,D282-E282,"")</f>
        <v/>
      </c>
      <c r="G282" s="31" t="str">
        <f>IF(276&lt;=Calculator!C9,G281-F282,"")</f>
        <v/>
      </c>
    </row>
    <row r="283" spans="2:7" x14ac:dyDescent="0.25">
      <c r="B283" s="26" t="str">
        <f>IF(277&lt;=Calculator!C9,277,"")</f>
        <v/>
      </c>
      <c r="C283" s="27" t="str">
        <f>IF(277&lt;=Calculator!C9,EDATE(Calculator!C10,277-1),"")</f>
        <v/>
      </c>
      <c r="D283" s="28" t="str">
        <f>IF(277&lt;=Calculator!C9,Calculator!C14,"")</f>
        <v/>
      </c>
      <c r="E283" s="28" t="str">
        <f>IF(277&lt;=Calculator!C9,G282*Calculator!C11,"")</f>
        <v/>
      </c>
      <c r="F283" s="28" t="str">
        <f>IF(277&lt;=Calculator!C9,D283-E283,"")</f>
        <v/>
      </c>
      <c r="G283" s="28" t="str">
        <f>IF(277&lt;=Calculator!C9,G282-F283,"")</f>
        <v/>
      </c>
    </row>
    <row r="284" spans="2:7" x14ac:dyDescent="0.25">
      <c r="B284" s="29" t="str">
        <f>IF(278&lt;=Calculator!C9,278,"")</f>
        <v/>
      </c>
      <c r="C284" s="30" t="str">
        <f>IF(278&lt;=Calculator!C9,EDATE(Calculator!C10,278-1),"")</f>
        <v/>
      </c>
      <c r="D284" s="31" t="str">
        <f>IF(278&lt;=Calculator!C9,Calculator!C14,"")</f>
        <v/>
      </c>
      <c r="E284" s="31" t="str">
        <f>IF(278&lt;=Calculator!C9,G283*Calculator!C11,"")</f>
        <v/>
      </c>
      <c r="F284" s="31" t="str">
        <f>IF(278&lt;=Calculator!C9,D284-E284,"")</f>
        <v/>
      </c>
      <c r="G284" s="31" t="str">
        <f>IF(278&lt;=Calculator!C9,G283-F284,"")</f>
        <v/>
      </c>
    </row>
    <row r="285" spans="2:7" x14ac:dyDescent="0.25">
      <c r="B285" s="26" t="str">
        <f>IF(279&lt;=Calculator!C9,279,"")</f>
        <v/>
      </c>
      <c r="C285" s="27" t="str">
        <f>IF(279&lt;=Calculator!C9,EDATE(Calculator!C10,279-1),"")</f>
        <v/>
      </c>
      <c r="D285" s="28" t="str">
        <f>IF(279&lt;=Calculator!C9,Calculator!C14,"")</f>
        <v/>
      </c>
      <c r="E285" s="28" t="str">
        <f>IF(279&lt;=Calculator!C9,G284*Calculator!C11,"")</f>
        <v/>
      </c>
      <c r="F285" s="28" t="str">
        <f>IF(279&lt;=Calculator!C9,D285-E285,"")</f>
        <v/>
      </c>
      <c r="G285" s="28" t="str">
        <f>IF(279&lt;=Calculator!C9,G284-F285,"")</f>
        <v/>
      </c>
    </row>
    <row r="286" spans="2:7" x14ac:dyDescent="0.25">
      <c r="B286" s="29" t="str">
        <f>IF(280&lt;=Calculator!C9,280,"")</f>
        <v/>
      </c>
      <c r="C286" s="30" t="str">
        <f>IF(280&lt;=Calculator!C9,EDATE(Calculator!C10,280-1),"")</f>
        <v/>
      </c>
      <c r="D286" s="31" t="str">
        <f>IF(280&lt;=Calculator!C9,Calculator!C14,"")</f>
        <v/>
      </c>
      <c r="E286" s="31" t="str">
        <f>IF(280&lt;=Calculator!C9,G285*Calculator!C11,"")</f>
        <v/>
      </c>
      <c r="F286" s="31" t="str">
        <f>IF(280&lt;=Calculator!C9,D286-E286,"")</f>
        <v/>
      </c>
      <c r="G286" s="31" t="str">
        <f>IF(280&lt;=Calculator!C9,G285-F286,"")</f>
        <v/>
      </c>
    </row>
    <row r="287" spans="2:7" x14ac:dyDescent="0.25">
      <c r="B287" s="26" t="str">
        <f>IF(281&lt;=Calculator!C9,281,"")</f>
        <v/>
      </c>
      <c r="C287" s="27" t="str">
        <f>IF(281&lt;=Calculator!C9,EDATE(Calculator!C10,281-1),"")</f>
        <v/>
      </c>
      <c r="D287" s="28" t="str">
        <f>IF(281&lt;=Calculator!C9,Calculator!C14,"")</f>
        <v/>
      </c>
      <c r="E287" s="28" t="str">
        <f>IF(281&lt;=Calculator!C9,G286*Calculator!C11,"")</f>
        <v/>
      </c>
      <c r="F287" s="28" t="str">
        <f>IF(281&lt;=Calculator!C9,D287-E287,"")</f>
        <v/>
      </c>
      <c r="G287" s="28" t="str">
        <f>IF(281&lt;=Calculator!C9,G286-F287,"")</f>
        <v/>
      </c>
    </row>
    <row r="288" spans="2:7" x14ac:dyDescent="0.25">
      <c r="B288" s="29" t="str">
        <f>IF(282&lt;=Calculator!C9,282,"")</f>
        <v/>
      </c>
      <c r="C288" s="30" t="str">
        <f>IF(282&lt;=Calculator!C9,EDATE(Calculator!C10,282-1),"")</f>
        <v/>
      </c>
      <c r="D288" s="31" t="str">
        <f>IF(282&lt;=Calculator!C9,Calculator!C14,"")</f>
        <v/>
      </c>
      <c r="E288" s="31" t="str">
        <f>IF(282&lt;=Calculator!C9,G287*Calculator!C11,"")</f>
        <v/>
      </c>
      <c r="F288" s="31" t="str">
        <f>IF(282&lt;=Calculator!C9,D288-E288,"")</f>
        <v/>
      </c>
      <c r="G288" s="31" t="str">
        <f>IF(282&lt;=Calculator!C9,G287-F288,"")</f>
        <v/>
      </c>
    </row>
    <row r="289" spans="2:7" x14ac:dyDescent="0.25">
      <c r="B289" s="26" t="str">
        <f>IF(283&lt;=Calculator!C9,283,"")</f>
        <v/>
      </c>
      <c r="C289" s="27" t="str">
        <f>IF(283&lt;=Calculator!C9,EDATE(Calculator!C10,283-1),"")</f>
        <v/>
      </c>
      <c r="D289" s="28" t="str">
        <f>IF(283&lt;=Calculator!C9,Calculator!C14,"")</f>
        <v/>
      </c>
      <c r="E289" s="28" t="str">
        <f>IF(283&lt;=Calculator!C9,G288*Calculator!C11,"")</f>
        <v/>
      </c>
      <c r="F289" s="28" t="str">
        <f>IF(283&lt;=Calculator!C9,D289-E289,"")</f>
        <v/>
      </c>
      <c r="G289" s="28" t="str">
        <f>IF(283&lt;=Calculator!C9,G288-F289,"")</f>
        <v/>
      </c>
    </row>
    <row r="290" spans="2:7" x14ac:dyDescent="0.25">
      <c r="B290" s="29" t="str">
        <f>IF(284&lt;=Calculator!C9,284,"")</f>
        <v/>
      </c>
      <c r="C290" s="30" t="str">
        <f>IF(284&lt;=Calculator!C9,EDATE(Calculator!C10,284-1),"")</f>
        <v/>
      </c>
      <c r="D290" s="31" t="str">
        <f>IF(284&lt;=Calculator!C9,Calculator!C14,"")</f>
        <v/>
      </c>
      <c r="E290" s="31" t="str">
        <f>IF(284&lt;=Calculator!C9,G289*Calculator!C11,"")</f>
        <v/>
      </c>
      <c r="F290" s="31" t="str">
        <f>IF(284&lt;=Calculator!C9,D290-E290,"")</f>
        <v/>
      </c>
      <c r="G290" s="31" t="str">
        <f>IF(284&lt;=Calculator!C9,G289-F290,"")</f>
        <v/>
      </c>
    </row>
    <row r="291" spans="2:7" x14ac:dyDescent="0.25">
      <c r="B291" s="26" t="str">
        <f>IF(285&lt;=Calculator!C9,285,"")</f>
        <v/>
      </c>
      <c r="C291" s="27" t="str">
        <f>IF(285&lt;=Calculator!C9,EDATE(Calculator!C10,285-1),"")</f>
        <v/>
      </c>
      <c r="D291" s="28" t="str">
        <f>IF(285&lt;=Calculator!C9,Calculator!C14,"")</f>
        <v/>
      </c>
      <c r="E291" s="28" t="str">
        <f>IF(285&lt;=Calculator!C9,G290*Calculator!C11,"")</f>
        <v/>
      </c>
      <c r="F291" s="28" t="str">
        <f>IF(285&lt;=Calculator!C9,D291-E291,"")</f>
        <v/>
      </c>
      <c r="G291" s="28" t="str">
        <f>IF(285&lt;=Calculator!C9,G290-F291,"")</f>
        <v/>
      </c>
    </row>
    <row r="292" spans="2:7" x14ac:dyDescent="0.25">
      <c r="B292" s="29" t="str">
        <f>IF(286&lt;=Calculator!C9,286,"")</f>
        <v/>
      </c>
      <c r="C292" s="30" t="str">
        <f>IF(286&lt;=Calculator!C9,EDATE(Calculator!C10,286-1),"")</f>
        <v/>
      </c>
      <c r="D292" s="31" t="str">
        <f>IF(286&lt;=Calculator!C9,Calculator!C14,"")</f>
        <v/>
      </c>
      <c r="E292" s="31" t="str">
        <f>IF(286&lt;=Calculator!C9,G291*Calculator!C11,"")</f>
        <v/>
      </c>
      <c r="F292" s="31" t="str">
        <f>IF(286&lt;=Calculator!C9,D292-E292,"")</f>
        <v/>
      </c>
      <c r="G292" s="31" t="str">
        <f>IF(286&lt;=Calculator!C9,G291-F292,"")</f>
        <v/>
      </c>
    </row>
    <row r="293" spans="2:7" x14ac:dyDescent="0.25">
      <c r="B293" s="26" t="str">
        <f>IF(287&lt;=Calculator!C9,287,"")</f>
        <v/>
      </c>
      <c r="C293" s="27" t="str">
        <f>IF(287&lt;=Calculator!C9,EDATE(Calculator!C10,287-1),"")</f>
        <v/>
      </c>
      <c r="D293" s="28" t="str">
        <f>IF(287&lt;=Calculator!C9,Calculator!C14,"")</f>
        <v/>
      </c>
      <c r="E293" s="28" t="str">
        <f>IF(287&lt;=Calculator!C9,G292*Calculator!C11,"")</f>
        <v/>
      </c>
      <c r="F293" s="28" t="str">
        <f>IF(287&lt;=Calculator!C9,D293-E293,"")</f>
        <v/>
      </c>
      <c r="G293" s="28" t="str">
        <f>IF(287&lt;=Calculator!C9,G292-F293,"")</f>
        <v/>
      </c>
    </row>
    <row r="294" spans="2:7" x14ac:dyDescent="0.25">
      <c r="B294" s="29" t="str">
        <f>IF(288&lt;=Calculator!C9,288,"")</f>
        <v/>
      </c>
      <c r="C294" s="30" t="str">
        <f>IF(288&lt;=Calculator!C9,EDATE(Calculator!C10,288-1),"")</f>
        <v/>
      </c>
      <c r="D294" s="31" t="str">
        <f>IF(288&lt;=Calculator!C9,Calculator!C14,"")</f>
        <v/>
      </c>
      <c r="E294" s="31" t="str">
        <f>IF(288&lt;=Calculator!C9,G293*Calculator!C11,"")</f>
        <v/>
      </c>
      <c r="F294" s="31" t="str">
        <f>IF(288&lt;=Calculator!C9,D294-E294,"")</f>
        <v/>
      </c>
      <c r="G294" s="31" t="str">
        <f>IF(288&lt;=Calculator!C9,G293-F294,"")</f>
        <v/>
      </c>
    </row>
    <row r="295" spans="2:7" x14ac:dyDescent="0.25">
      <c r="B295" s="26" t="str">
        <f>IF(289&lt;=Calculator!C9,289,"")</f>
        <v/>
      </c>
      <c r="C295" s="27" t="str">
        <f>IF(289&lt;=Calculator!C9,EDATE(Calculator!C10,289-1),"")</f>
        <v/>
      </c>
      <c r="D295" s="28" t="str">
        <f>IF(289&lt;=Calculator!C9,Calculator!C14,"")</f>
        <v/>
      </c>
      <c r="E295" s="28" t="str">
        <f>IF(289&lt;=Calculator!C9,G294*Calculator!C11,"")</f>
        <v/>
      </c>
      <c r="F295" s="28" t="str">
        <f>IF(289&lt;=Calculator!C9,D295-E295,"")</f>
        <v/>
      </c>
      <c r="G295" s="28" t="str">
        <f>IF(289&lt;=Calculator!C9,G294-F295,"")</f>
        <v/>
      </c>
    </row>
    <row r="296" spans="2:7" x14ac:dyDescent="0.25">
      <c r="B296" s="29" t="str">
        <f>IF(290&lt;=Calculator!C9,290,"")</f>
        <v/>
      </c>
      <c r="C296" s="30" t="str">
        <f>IF(290&lt;=Calculator!C9,EDATE(Calculator!C10,290-1),"")</f>
        <v/>
      </c>
      <c r="D296" s="31" t="str">
        <f>IF(290&lt;=Calculator!C9,Calculator!C14,"")</f>
        <v/>
      </c>
      <c r="E296" s="31" t="str">
        <f>IF(290&lt;=Calculator!C9,G295*Calculator!C11,"")</f>
        <v/>
      </c>
      <c r="F296" s="31" t="str">
        <f>IF(290&lt;=Calculator!C9,D296-E296,"")</f>
        <v/>
      </c>
      <c r="G296" s="31" t="str">
        <f>IF(290&lt;=Calculator!C9,G295-F296,"")</f>
        <v/>
      </c>
    </row>
    <row r="297" spans="2:7" x14ac:dyDescent="0.25">
      <c r="B297" s="26" t="str">
        <f>IF(291&lt;=Calculator!C9,291,"")</f>
        <v/>
      </c>
      <c r="C297" s="27" t="str">
        <f>IF(291&lt;=Calculator!C9,EDATE(Calculator!C10,291-1),"")</f>
        <v/>
      </c>
      <c r="D297" s="28" t="str">
        <f>IF(291&lt;=Calculator!C9,Calculator!C14,"")</f>
        <v/>
      </c>
      <c r="E297" s="28" t="str">
        <f>IF(291&lt;=Calculator!C9,G296*Calculator!C11,"")</f>
        <v/>
      </c>
      <c r="F297" s="28" t="str">
        <f>IF(291&lt;=Calculator!C9,D297-E297,"")</f>
        <v/>
      </c>
      <c r="G297" s="28" t="str">
        <f>IF(291&lt;=Calculator!C9,G296-F297,"")</f>
        <v/>
      </c>
    </row>
    <row r="298" spans="2:7" x14ac:dyDescent="0.25">
      <c r="B298" s="29" t="str">
        <f>IF(292&lt;=Calculator!C9,292,"")</f>
        <v/>
      </c>
      <c r="C298" s="30" t="str">
        <f>IF(292&lt;=Calculator!C9,EDATE(Calculator!C10,292-1),"")</f>
        <v/>
      </c>
      <c r="D298" s="31" t="str">
        <f>IF(292&lt;=Calculator!C9,Calculator!C14,"")</f>
        <v/>
      </c>
      <c r="E298" s="31" t="str">
        <f>IF(292&lt;=Calculator!C9,G297*Calculator!C11,"")</f>
        <v/>
      </c>
      <c r="F298" s="31" t="str">
        <f>IF(292&lt;=Calculator!C9,D298-E298,"")</f>
        <v/>
      </c>
      <c r="G298" s="31" t="str">
        <f>IF(292&lt;=Calculator!C9,G297-F298,"")</f>
        <v/>
      </c>
    </row>
    <row r="299" spans="2:7" x14ac:dyDescent="0.25">
      <c r="B299" s="26" t="str">
        <f>IF(293&lt;=Calculator!C9,293,"")</f>
        <v/>
      </c>
      <c r="C299" s="27" t="str">
        <f>IF(293&lt;=Calculator!C9,EDATE(Calculator!C10,293-1),"")</f>
        <v/>
      </c>
      <c r="D299" s="28" t="str">
        <f>IF(293&lt;=Calculator!C9,Calculator!C14,"")</f>
        <v/>
      </c>
      <c r="E299" s="28" t="str">
        <f>IF(293&lt;=Calculator!C9,G298*Calculator!C11,"")</f>
        <v/>
      </c>
      <c r="F299" s="28" t="str">
        <f>IF(293&lt;=Calculator!C9,D299-E299,"")</f>
        <v/>
      </c>
      <c r="G299" s="28" t="str">
        <f>IF(293&lt;=Calculator!C9,G298-F299,"")</f>
        <v/>
      </c>
    </row>
    <row r="300" spans="2:7" x14ac:dyDescent="0.25">
      <c r="B300" s="29" t="str">
        <f>IF(294&lt;=Calculator!C9,294,"")</f>
        <v/>
      </c>
      <c r="C300" s="30" t="str">
        <f>IF(294&lt;=Calculator!C9,EDATE(Calculator!C10,294-1),"")</f>
        <v/>
      </c>
      <c r="D300" s="31" t="str">
        <f>IF(294&lt;=Calculator!C9,Calculator!C14,"")</f>
        <v/>
      </c>
      <c r="E300" s="31" t="str">
        <f>IF(294&lt;=Calculator!C9,G299*Calculator!C11,"")</f>
        <v/>
      </c>
      <c r="F300" s="31" t="str">
        <f>IF(294&lt;=Calculator!C9,D300-E300,"")</f>
        <v/>
      </c>
      <c r="G300" s="31" t="str">
        <f>IF(294&lt;=Calculator!C9,G299-F300,"")</f>
        <v/>
      </c>
    </row>
    <row r="301" spans="2:7" x14ac:dyDescent="0.25">
      <c r="B301" s="26" t="str">
        <f>IF(295&lt;=Calculator!C9,295,"")</f>
        <v/>
      </c>
      <c r="C301" s="27" t="str">
        <f>IF(295&lt;=Calculator!C9,EDATE(Calculator!C10,295-1),"")</f>
        <v/>
      </c>
      <c r="D301" s="28" t="str">
        <f>IF(295&lt;=Calculator!C9,Calculator!C14,"")</f>
        <v/>
      </c>
      <c r="E301" s="28" t="str">
        <f>IF(295&lt;=Calculator!C9,G300*Calculator!C11,"")</f>
        <v/>
      </c>
      <c r="F301" s="28" t="str">
        <f>IF(295&lt;=Calculator!C9,D301-E301,"")</f>
        <v/>
      </c>
      <c r="G301" s="28" t="str">
        <f>IF(295&lt;=Calculator!C9,G300-F301,"")</f>
        <v/>
      </c>
    </row>
    <row r="302" spans="2:7" x14ac:dyDescent="0.25">
      <c r="B302" s="29" t="str">
        <f>IF(296&lt;=Calculator!C9,296,"")</f>
        <v/>
      </c>
      <c r="C302" s="30" t="str">
        <f>IF(296&lt;=Calculator!C9,EDATE(Calculator!C10,296-1),"")</f>
        <v/>
      </c>
      <c r="D302" s="31" t="str">
        <f>IF(296&lt;=Calculator!C9,Calculator!C14,"")</f>
        <v/>
      </c>
      <c r="E302" s="31" t="str">
        <f>IF(296&lt;=Calculator!C9,G301*Calculator!C11,"")</f>
        <v/>
      </c>
      <c r="F302" s="31" t="str">
        <f>IF(296&lt;=Calculator!C9,D302-E302,"")</f>
        <v/>
      </c>
      <c r="G302" s="31" t="str">
        <f>IF(296&lt;=Calculator!C9,G301-F302,"")</f>
        <v/>
      </c>
    </row>
    <row r="303" spans="2:7" x14ac:dyDescent="0.25">
      <c r="B303" s="26" t="str">
        <f>IF(297&lt;=Calculator!C9,297,"")</f>
        <v/>
      </c>
      <c r="C303" s="27" t="str">
        <f>IF(297&lt;=Calculator!C9,EDATE(Calculator!C10,297-1),"")</f>
        <v/>
      </c>
      <c r="D303" s="28" t="str">
        <f>IF(297&lt;=Calculator!C9,Calculator!C14,"")</f>
        <v/>
      </c>
      <c r="E303" s="28" t="str">
        <f>IF(297&lt;=Calculator!C9,G302*Calculator!C11,"")</f>
        <v/>
      </c>
      <c r="F303" s="28" t="str">
        <f>IF(297&lt;=Calculator!C9,D303-E303,"")</f>
        <v/>
      </c>
      <c r="G303" s="28" t="str">
        <f>IF(297&lt;=Calculator!C9,G302-F303,"")</f>
        <v/>
      </c>
    </row>
    <row r="304" spans="2:7" x14ac:dyDescent="0.25">
      <c r="B304" s="29" t="str">
        <f>IF(298&lt;=Calculator!C9,298,"")</f>
        <v/>
      </c>
      <c r="C304" s="30" t="str">
        <f>IF(298&lt;=Calculator!C9,EDATE(Calculator!C10,298-1),"")</f>
        <v/>
      </c>
      <c r="D304" s="31" t="str">
        <f>IF(298&lt;=Calculator!C9,Calculator!C14,"")</f>
        <v/>
      </c>
      <c r="E304" s="31" t="str">
        <f>IF(298&lt;=Calculator!C9,G303*Calculator!C11,"")</f>
        <v/>
      </c>
      <c r="F304" s="31" t="str">
        <f>IF(298&lt;=Calculator!C9,D304-E304,"")</f>
        <v/>
      </c>
      <c r="G304" s="31" t="str">
        <f>IF(298&lt;=Calculator!C9,G303-F304,"")</f>
        <v/>
      </c>
    </row>
    <row r="305" spans="2:7" x14ac:dyDescent="0.25">
      <c r="B305" s="26" t="str">
        <f>IF(299&lt;=Calculator!C9,299,"")</f>
        <v/>
      </c>
      <c r="C305" s="27" t="str">
        <f>IF(299&lt;=Calculator!C9,EDATE(Calculator!C10,299-1),"")</f>
        <v/>
      </c>
      <c r="D305" s="28" t="str">
        <f>IF(299&lt;=Calculator!C9,Calculator!C14,"")</f>
        <v/>
      </c>
      <c r="E305" s="28" t="str">
        <f>IF(299&lt;=Calculator!C9,G304*Calculator!C11,"")</f>
        <v/>
      </c>
      <c r="F305" s="28" t="str">
        <f>IF(299&lt;=Calculator!C9,D305-E305,"")</f>
        <v/>
      </c>
      <c r="G305" s="28" t="str">
        <f>IF(299&lt;=Calculator!C9,G304-F305,"")</f>
        <v/>
      </c>
    </row>
    <row r="306" spans="2:7" x14ac:dyDescent="0.25">
      <c r="B306" s="29" t="str">
        <f>IF(300&lt;=Calculator!C9,300,"")</f>
        <v/>
      </c>
      <c r="C306" s="30" t="str">
        <f>IF(300&lt;=Calculator!C9,EDATE(Calculator!C10,300-1),"")</f>
        <v/>
      </c>
      <c r="D306" s="31" t="str">
        <f>IF(300&lt;=Calculator!C9,Calculator!C14,"")</f>
        <v/>
      </c>
      <c r="E306" s="31" t="str">
        <f>IF(300&lt;=Calculator!C9,G305*Calculator!C11,"")</f>
        <v/>
      </c>
      <c r="F306" s="31" t="str">
        <f>IF(300&lt;=Calculator!C9,D306-E306,"")</f>
        <v/>
      </c>
      <c r="G306" s="31" t="str">
        <f>IF(300&lt;=Calculator!C9,G305-F306,"")</f>
        <v/>
      </c>
    </row>
    <row r="307" spans="2:7" x14ac:dyDescent="0.25">
      <c r="B307" s="26" t="str">
        <f>IF(301&lt;=Calculator!C9,301,"")</f>
        <v/>
      </c>
      <c r="C307" s="27" t="str">
        <f>IF(301&lt;=Calculator!C9,EDATE(Calculator!C10,301-1),"")</f>
        <v/>
      </c>
      <c r="D307" s="28" t="str">
        <f>IF(301&lt;=Calculator!C9,Calculator!C14,"")</f>
        <v/>
      </c>
      <c r="E307" s="28" t="str">
        <f>IF(301&lt;=Calculator!C9,G306*Calculator!C11,"")</f>
        <v/>
      </c>
      <c r="F307" s="28" t="str">
        <f>IF(301&lt;=Calculator!C9,D307-E307,"")</f>
        <v/>
      </c>
      <c r="G307" s="28" t="str">
        <f>IF(301&lt;=Calculator!C9,G306-F307,"")</f>
        <v/>
      </c>
    </row>
    <row r="308" spans="2:7" x14ac:dyDescent="0.25">
      <c r="B308" s="29" t="str">
        <f>IF(302&lt;=Calculator!C9,302,"")</f>
        <v/>
      </c>
      <c r="C308" s="30" t="str">
        <f>IF(302&lt;=Calculator!C9,EDATE(Calculator!C10,302-1),"")</f>
        <v/>
      </c>
      <c r="D308" s="31" t="str">
        <f>IF(302&lt;=Calculator!C9,Calculator!C14,"")</f>
        <v/>
      </c>
      <c r="E308" s="31" t="str">
        <f>IF(302&lt;=Calculator!C9,G307*Calculator!C11,"")</f>
        <v/>
      </c>
      <c r="F308" s="31" t="str">
        <f>IF(302&lt;=Calculator!C9,D308-E308,"")</f>
        <v/>
      </c>
      <c r="G308" s="31" t="str">
        <f>IF(302&lt;=Calculator!C9,G307-F308,"")</f>
        <v/>
      </c>
    </row>
    <row r="309" spans="2:7" x14ac:dyDescent="0.25">
      <c r="B309" s="26" t="str">
        <f>IF(303&lt;=Calculator!C9,303,"")</f>
        <v/>
      </c>
      <c r="C309" s="27" t="str">
        <f>IF(303&lt;=Calculator!C9,EDATE(Calculator!C10,303-1),"")</f>
        <v/>
      </c>
      <c r="D309" s="28" t="str">
        <f>IF(303&lt;=Calculator!C9,Calculator!C14,"")</f>
        <v/>
      </c>
      <c r="E309" s="28" t="str">
        <f>IF(303&lt;=Calculator!C9,G308*Calculator!C11,"")</f>
        <v/>
      </c>
      <c r="F309" s="28" t="str">
        <f>IF(303&lt;=Calculator!C9,D309-E309,"")</f>
        <v/>
      </c>
      <c r="G309" s="28" t="str">
        <f>IF(303&lt;=Calculator!C9,G308-F309,"")</f>
        <v/>
      </c>
    </row>
    <row r="310" spans="2:7" x14ac:dyDescent="0.25">
      <c r="B310" s="29" t="str">
        <f>IF(304&lt;=Calculator!C9,304,"")</f>
        <v/>
      </c>
      <c r="C310" s="30" t="str">
        <f>IF(304&lt;=Calculator!C9,EDATE(Calculator!C10,304-1),"")</f>
        <v/>
      </c>
      <c r="D310" s="31" t="str">
        <f>IF(304&lt;=Calculator!C9,Calculator!C14,"")</f>
        <v/>
      </c>
      <c r="E310" s="31" t="str">
        <f>IF(304&lt;=Calculator!C9,G309*Calculator!C11,"")</f>
        <v/>
      </c>
      <c r="F310" s="31" t="str">
        <f>IF(304&lt;=Calculator!C9,D310-E310,"")</f>
        <v/>
      </c>
      <c r="G310" s="31" t="str">
        <f>IF(304&lt;=Calculator!C9,G309-F310,"")</f>
        <v/>
      </c>
    </row>
    <row r="311" spans="2:7" x14ac:dyDescent="0.25">
      <c r="B311" s="26" t="str">
        <f>IF(305&lt;=Calculator!C9,305,"")</f>
        <v/>
      </c>
      <c r="C311" s="27" t="str">
        <f>IF(305&lt;=Calculator!C9,EDATE(Calculator!C10,305-1),"")</f>
        <v/>
      </c>
      <c r="D311" s="28" t="str">
        <f>IF(305&lt;=Calculator!C9,Calculator!C14,"")</f>
        <v/>
      </c>
      <c r="E311" s="28" t="str">
        <f>IF(305&lt;=Calculator!C9,G310*Calculator!C11,"")</f>
        <v/>
      </c>
      <c r="F311" s="28" t="str">
        <f>IF(305&lt;=Calculator!C9,D311-E311,"")</f>
        <v/>
      </c>
      <c r="G311" s="28" t="str">
        <f>IF(305&lt;=Calculator!C9,G310-F311,"")</f>
        <v/>
      </c>
    </row>
    <row r="312" spans="2:7" x14ac:dyDescent="0.25">
      <c r="B312" s="29" t="str">
        <f>IF(306&lt;=Calculator!C9,306,"")</f>
        <v/>
      </c>
      <c r="C312" s="30" t="str">
        <f>IF(306&lt;=Calculator!C9,EDATE(Calculator!C10,306-1),"")</f>
        <v/>
      </c>
      <c r="D312" s="31" t="str">
        <f>IF(306&lt;=Calculator!C9,Calculator!C14,"")</f>
        <v/>
      </c>
      <c r="E312" s="31" t="str">
        <f>IF(306&lt;=Calculator!C9,G311*Calculator!C11,"")</f>
        <v/>
      </c>
      <c r="F312" s="31" t="str">
        <f>IF(306&lt;=Calculator!C9,D312-E312,"")</f>
        <v/>
      </c>
      <c r="G312" s="31" t="str">
        <f>IF(306&lt;=Calculator!C9,G311-F312,"")</f>
        <v/>
      </c>
    </row>
    <row r="313" spans="2:7" x14ac:dyDescent="0.25">
      <c r="B313" s="26" t="str">
        <f>IF(307&lt;=Calculator!C9,307,"")</f>
        <v/>
      </c>
      <c r="C313" s="27" t="str">
        <f>IF(307&lt;=Calculator!C9,EDATE(Calculator!C10,307-1),"")</f>
        <v/>
      </c>
      <c r="D313" s="28" t="str">
        <f>IF(307&lt;=Calculator!C9,Calculator!C14,"")</f>
        <v/>
      </c>
      <c r="E313" s="28" t="str">
        <f>IF(307&lt;=Calculator!C9,G312*Calculator!C11,"")</f>
        <v/>
      </c>
      <c r="F313" s="28" t="str">
        <f>IF(307&lt;=Calculator!C9,D313-E313,"")</f>
        <v/>
      </c>
      <c r="G313" s="28" t="str">
        <f>IF(307&lt;=Calculator!C9,G312-F313,"")</f>
        <v/>
      </c>
    </row>
    <row r="314" spans="2:7" x14ac:dyDescent="0.25">
      <c r="B314" s="29" t="str">
        <f>IF(308&lt;=Calculator!C9,308,"")</f>
        <v/>
      </c>
      <c r="C314" s="30" t="str">
        <f>IF(308&lt;=Calculator!C9,EDATE(Calculator!C10,308-1),"")</f>
        <v/>
      </c>
      <c r="D314" s="31" t="str">
        <f>IF(308&lt;=Calculator!C9,Calculator!C14,"")</f>
        <v/>
      </c>
      <c r="E314" s="31" t="str">
        <f>IF(308&lt;=Calculator!C9,G313*Calculator!C11,"")</f>
        <v/>
      </c>
      <c r="F314" s="31" t="str">
        <f>IF(308&lt;=Calculator!C9,D314-E314,"")</f>
        <v/>
      </c>
      <c r="G314" s="31" t="str">
        <f>IF(308&lt;=Calculator!C9,G313-F314,"")</f>
        <v/>
      </c>
    </row>
    <row r="315" spans="2:7" x14ac:dyDescent="0.25">
      <c r="B315" s="26" t="str">
        <f>IF(309&lt;=Calculator!C9,309,"")</f>
        <v/>
      </c>
      <c r="C315" s="27" t="str">
        <f>IF(309&lt;=Calculator!C9,EDATE(Calculator!C10,309-1),"")</f>
        <v/>
      </c>
      <c r="D315" s="28" t="str">
        <f>IF(309&lt;=Calculator!C9,Calculator!C14,"")</f>
        <v/>
      </c>
      <c r="E315" s="28" t="str">
        <f>IF(309&lt;=Calculator!C9,G314*Calculator!C11,"")</f>
        <v/>
      </c>
      <c r="F315" s="28" t="str">
        <f>IF(309&lt;=Calculator!C9,D315-E315,"")</f>
        <v/>
      </c>
      <c r="G315" s="28" t="str">
        <f>IF(309&lt;=Calculator!C9,G314-F315,"")</f>
        <v/>
      </c>
    </row>
    <row r="316" spans="2:7" x14ac:dyDescent="0.25">
      <c r="B316" s="29" t="str">
        <f>IF(310&lt;=Calculator!C9,310,"")</f>
        <v/>
      </c>
      <c r="C316" s="30" t="str">
        <f>IF(310&lt;=Calculator!C9,EDATE(Calculator!C10,310-1),"")</f>
        <v/>
      </c>
      <c r="D316" s="31" t="str">
        <f>IF(310&lt;=Calculator!C9,Calculator!C14,"")</f>
        <v/>
      </c>
      <c r="E316" s="31" t="str">
        <f>IF(310&lt;=Calculator!C9,G315*Calculator!C11,"")</f>
        <v/>
      </c>
      <c r="F316" s="31" t="str">
        <f>IF(310&lt;=Calculator!C9,D316-E316,"")</f>
        <v/>
      </c>
      <c r="G316" s="31" t="str">
        <f>IF(310&lt;=Calculator!C9,G315-F316,"")</f>
        <v/>
      </c>
    </row>
    <row r="317" spans="2:7" x14ac:dyDescent="0.25">
      <c r="B317" s="26" t="str">
        <f>IF(311&lt;=Calculator!C9,311,"")</f>
        <v/>
      </c>
      <c r="C317" s="27" t="str">
        <f>IF(311&lt;=Calculator!C9,EDATE(Calculator!C10,311-1),"")</f>
        <v/>
      </c>
      <c r="D317" s="28" t="str">
        <f>IF(311&lt;=Calculator!C9,Calculator!C14,"")</f>
        <v/>
      </c>
      <c r="E317" s="28" t="str">
        <f>IF(311&lt;=Calculator!C9,G316*Calculator!C11,"")</f>
        <v/>
      </c>
      <c r="F317" s="28" t="str">
        <f>IF(311&lt;=Calculator!C9,D317-E317,"")</f>
        <v/>
      </c>
      <c r="G317" s="28" t="str">
        <f>IF(311&lt;=Calculator!C9,G316-F317,"")</f>
        <v/>
      </c>
    </row>
    <row r="318" spans="2:7" x14ac:dyDescent="0.25">
      <c r="B318" s="29" t="str">
        <f>IF(312&lt;=Calculator!C9,312,"")</f>
        <v/>
      </c>
      <c r="C318" s="30" t="str">
        <f>IF(312&lt;=Calculator!C9,EDATE(Calculator!C10,312-1),"")</f>
        <v/>
      </c>
      <c r="D318" s="31" t="str">
        <f>IF(312&lt;=Calculator!C9,Calculator!C14,"")</f>
        <v/>
      </c>
      <c r="E318" s="31" t="str">
        <f>IF(312&lt;=Calculator!C9,G317*Calculator!C11,"")</f>
        <v/>
      </c>
      <c r="F318" s="31" t="str">
        <f>IF(312&lt;=Calculator!C9,D318-E318,"")</f>
        <v/>
      </c>
      <c r="G318" s="31" t="str">
        <f>IF(312&lt;=Calculator!C9,G317-F318,"")</f>
        <v/>
      </c>
    </row>
    <row r="319" spans="2:7" x14ac:dyDescent="0.25">
      <c r="B319" s="26" t="str">
        <f>IF(313&lt;=Calculator!C9,313,"")</f>
        <v/>
      </c>
      <c r="C319" s="27" t="str">
        <f>IF(313&lt;=Calculator!C9,EDATE(Calculator!C10,313-1),"")</f>
        <v/>
      </c>
      <c r="D319" s="28" t="str">
        <f>IF(313&lt;=Calculator!C9,Calculator!C14,"")</f>
        <v/>
      </c>
      <c r="E319" s="28" t="str">
        <f>IF(313&lt;=Calculator!C9,G318*Calculator!C11,"")</f>
        <v/>
      </c>
      <c r="F319" s="28" t="str">
        <f>IF(313&lt;=Calculator!C9,D319-E319,"")</f>
        <v/>
      </c>
      <c r="G319" s="28" t="str">
        <f>IF(313&lt;=Calculator!C9,G318-F319,"")</f>
        <v/>
      </c>
    </row>
    <row r="320" spans="2:7" x14ac:dyDescent="0.25">
      <c r="B320" s="29" t="str">
        <f>IF(314&lt;=Calculator!C9,314,"")</f>
        <v/>
      </c>
      <c r="C320" s="30" t="str">
        <f>IF(314&lt;=Calculator!C9,EDATE(Calculator!C10,314-1),"")</f>
        <v/>
      </c>
      <c r="D320" s="31" t="str">
        <f>IF(314&lt;=Calculator!C9,Calculator!C14,"")</f>
        <v/>
      </c>
      <c r="E320" s="31" t="str">
        <f>IF(314&lt;=Calculator!C9,G319*Calculator!C11,"")</f>
        <v/>
      </c>
      <c r="F320" s="31" t="str">
        <f>IF(314&lt;=Calculator!C9,D320-E320,"")</f>
        <v/>
      </c>
      <c r="G320" s="31" t="str">
        <f>IF(314&lt;=Calculator!C9,G319-F320,"")</f>
        <v/>
      </c>
    </row>
    <row r="321" spans="2:7" x14ac:dyDescent="0.25">
      <c r="B321" s="26" t="str">
        <f>IF(315&lt;=Calculator!C9,315,"")</f>
        <v/>
      </c>
      <c r="C321" s="27" t="str">
        <f>IF(315&lt;=Calculator!C9,EDATE(Calculator!C10,315-1),"")</f>
        <v/>
      </c>
      <c r="D321" s="28" t="str">
        <f>IF(315&lt;=Calculator!C9,Calculator!C14,"")</f>
        <v/>
      </c>
      <c r="E321" s="28" t="str">
        <f>IF(315&lt;=Calculator!C9,G320*Calculator!C11,"")</f>
        <v/>
      </c>
      <c r="F321" s="28" t="str">
        <f>IF(315&lt;=Calculator!C9,D321-E321,"")</f>
        <v/>
      </c>
      <c r="G321" s="28" t="str">
        <f>IF(315&lt;=Calculator!C9,G320-F321,"")</f>
        <v/>
      </c>
    </row>
    <row r="322" spans="2:7" x14ac:dyDescent="0.25">
      <c r="B322" s="29" t="str">
        <f>IF(316&lt;=Calculator!C9,316,"")</f>
        <v/>
      </c>
      <c r="C322" s="30" t="str">
        <f>IF(316&lt;=Calculator!C9,EDATE(Calculator!C10,316-1),"")</f>
        <v/>
      </c>
      <c r="D322" s="31" t="str">
        <f>IF(316&lt;=Calculator!C9,Calculator!C14,"")</f>
        <v/>
      </c>
      <c r="E322" s="31" t="str">
        <f>IF(316&lt;=Calculator!C9,G321*Calculator!C11,"")</f>
        <v/>
      </c>
      <c r="F322" s="31" t="str">
        <f>IF(316&lt;=Calculator!C9,D322-E322,"")</f>
        <v/>
      </c>
      <c r="G322" s="31" t="str">
        <f>IF(316&lt;=Calculator!C9,G321-F322,"")</f>
        <v/>
      </c>
    </row>
    <row r="323" spans="2:7" x14ac:dyDescent="0.25">
      <c r="B323" s="26" t="str">
        <f>IF(317&lt;=Calculator!C9,317,"")</f>
        <v/>
      </c>
      <c r="C323" s="27" t="str">
        <f>IF(317&lt;=Calculator!C9,EDATE(Calculator!C10,317-1),"")</f>
        <v/>
      </c>
      <c r="D323" s="28" t="str">
        <f>IF(317&lt;=Calculator!C9,Calculator!C14,"")</f>
        <v/>
      </c>
      <c r="E323" s="28" t="str">
        <f>IF(317&lt;=Calculator!C9,G322*Calculator!C11,"")</f>
        <v/>
      </c>
      <c r="F323" s="28" t="str">
        <f>IF(317&lt;=Calculator!C9,D323-E323,"")</f>
        <v/>
      </c>
      <c r="G323" s="28" t="str">
        <f>IF(317&lt;=Calculator!C9,G322-F323,"")</f>
        <v/>
      </c>
    </row>
    <row r="324" spans="2:7" x14ac:dyDescent="0.25">
      <c r="B324" s="29" t="str">
        <f>IF(318&lt;=Calculator!C9,318,"")</f>
        <v/>
      </c>
      <c r="C324" s="30" t="str">
        <f>IF(318&lt;=Calculator!C9,EDATE(Calculator!C10,318-1),"")</f>
        <v/>
      </c>
      <c r="D324" s="31" t="str">
        <f>IF(318&lt;=Calculator!C9,Calculator!C14,"")</f>
        <v/>
      </c>
      <c r="E324" s="31" t="str">
        <f>IF(318&lt;=Calculator!C9,G323*Calculator!C11,"")</f>
        <v/>
      </c>
      <c r="F324" s="31" t="str">
        <f>IF(318&lt;=Calculator!C9,D324-E324,"")</f>
        <v/>
      </c>
      <c r="G324" s="31" t="str">
        <f>IF(318&lt;=Calculator!C9,G323-F324,"")</f>
        <v/>
      </c>
    </row>
    <row r="325" spans="2:7" x14ac:dyDescent="0.25">
      <c r="B325" s="26" t="str">
        <f>IF(319&lt;=Calculator!C9,319,"")</f>
        <v/>
      </c>
      <c r="C325" s="27" t="str">
        <f>IF(319&lt;=Calculator!C9,EDATE(Calculator!C10,319-1),"")</f>
        <v/>
      </c>
      <c r="D325" s="28" t="str">
        <f>IF(319&lt;=Calculator!C9,Calculator!C14,"")</f>
        <v/>
      </c>
      <c r="E325" s="28" t="str">
        <f>IF(319&lt;=Calculator!C9,G324*Calculator!C11,"")</f>
        <v/>
      </c>
      <c r="F325" s="28" t="str">
        <f>IF(319&lt;=Calculator!C9,D325-E325,"")</f>
        <v/>
      </c>
      <c r="G325" s="28" t="str">
        <f>IF(319&lt;=Calculator!C9,G324-F325,"")</f>
        <v/>
      </c>
    </row>
    <row r="326" spans="2:7" x14ac:dyDescent="0.25">
      <c r="B326" s="29" t="str">
        <f>IF(320&lt;=Calculator!C9,320,"")</f>
        <v/>
      </c>
      <c r="C326" s="30" t="str">
        <f>IF(320&lt;=Calculator!C9,EDATE(Calculator!C10,320-1),"")</f>
        <v/>
      </c>
      <c r="D326" s="31" t="str">
        <f>IF(320&lt;=Calculator!C9,Calculator!C14,"")</f>
        <v/>
      </c>
      <c r="E326" s="31" t="str">
        <f>IF(320&lt;=Calculator!C9,G325*Calculator!C11,"")</f>
        <v/>
      </c>
      <c r="F326" s="31" t="str">
        <f>IF(320&lt;=Calculator!C9,D326-E326,"")</f>
        <v/>
      </c>
      <c r="G326" s="31" t="str">
        <f>IF(320&lt;=Calculator!C9,G325-F326,"")</f>
        <v/>
      </c>
    </row>
    <row r="327" spans="2:7" x14ac:dyDescent="0.25">
      <c r="B327" s="26" t="str">
        <f>IF(321&lt;=Calculator!C9,321,"")</f>
        <v/>
      </c>
      <c r="C327" s="27" t="str">
        <f>IF(321&lt;=Calculator!C9,EDATE(Calculator!C10,321-1),"")</f>
        <v/>
      </c>
      <c r="D327" s="28" t="str">
        <f>IF(321&lt;=Calculator!C9,Calculator!C14,"")</f>
        <v/>
      </c>
      <c r="E327" s="28" t="str">
        <f>IF(321&lt;=Calculator!C9,G326*Calculator!C11,"")</f>
        <v/>
      </c>
      <c r="F327" s="28" t="str">
        <f>IF(321&lt;=Calculator!C9,D327-E327,"")</f>
        <v/>
      </c>
      <c r="G327" s="28" t="str">
        <f>IF(321&lt;=Calculator!C9,G326-F327,"")</f>
        <v/>
      </c>
    </row>
    <row r="328" spans="2:7" x14ac:dyDescent="0.25">
      <c r="B328" s="29" t="str">
        <f>IF(322&lt;=Calculator!C9,322,"")</f>
        <v/>
      </c>
      <c r="C328" s="30" t="str">
        <f>IF(322&lt;=Calculator!C9,EDATE(Calculator!C10,322-1),"")</f>
        <v/>
      </c>
      <c r="D328" s="31" t="str">
        <f>IF(322&lt;=Calculator!C9,Calculator!C14,"")</f>
        <v/>
      </c>
      <c r="E328" s="31" t="str">
        <f>IF(322&lt;=Calculator!C9,G327*Calculator!C11,"")</f>
        <v/>
      </c>
      <c r="F328" s="31" t="str">
        <f>IF(322&lt;=Calculator!C9,D328-E328,"")</f>
        <v/>
      </c>
      <c r="G328" s="31" t="str">
        <f>IF(322&lt;=Calculator!C9,G327-F328,"")</f>
        <v/>
      </c>
    </row>
    <row r="329" spans="2:7" x14ac:dyDescent="0.25">
      <c r="B329" s="26" t="str">
        <f>IF(323&lt;=Calculator!C9,323,"")</f>
        <v/>
      </c>
      <c r="C329" s="27" t="str">
        <f>IF(323&lt;=Calculator!C9,EDATE(Calculator!C10,323-1),"")</f>
        <v/>
      </c>
      <c r="D329" s="28" t="str">
        <f>IF(323&lt;=Calculator!C9,Calculator!C14,"")</f>
        <v/>
      </c>
      <c r="E329" s="28" t="str">
        <f>IF(323&lt;=Calculator!C9,G328*Calculator!C11,"")</f>
        <v/>
      </c>
      <c r="F329" s="28" t="str">
        <f>IF(323&lt;=Calculator!C9,D329-E329,"")</f>
        <v/>
      </c>
      <c r="G329" s="28" t="str">
        <f>IF(323&lt;=Calculator!C9,G328-F329,"")</f>
        <v/>
      </c>
    </row>
    <row r="330" spans="2:7" x14ac:dyDescent="0.25">
      <c r="B330" s="29" t="str">
        <f>IF(324&lt;=Calculator!C9,324,"")</f>
        <v/>
      </c>
      <c r="C330" s="30" t="str">
        <f>IF(324&lt;=Calculator!C9,EDATE(Calculator!C10,324-1),"")</f>
        <v/>
      </c>
      <c r="D330" s="31" t="str">
        <f>IF(324&lt;=Calculator!C9,Calculator!C14,"")</f>
        <v/>
      </c>
      <c r="E330" s="31" t="str">
        <f>IF(324&lt;=Calculator!C9,G329*Calculator!C11,"")</f>
        <v/>
      </c>
      <c r="F330" s="31" t="str">
        <f>IF(324&lt;=Calculator!C9,D330-E330,"")</f>
        <v/>
      </c>
      <c r="G330" s="31" t="str">
        <f>IF(324&lt;=Calculator!C9,G329-F330,"")</f>
        <v/>
      </c>
    </row>
    <row r="331" spans="2:7" x14ac:dyDescent="0.25">
      <c r="B331" s="26" t="str">
        <f>IF(325&lt;=Calculator!C9,325,"")</f>
        <v/>
      </c>
      <c r="C331" s="27" t="str">
        <f>IF(325&lt;=Calculator!C9,EDATE(Calculator!C10,325-1),"")</f>
        <v/>
      </c>
      <c r="D331" s="28" t="str">
        <f>IF(325&lt;=Calculator!C9,Calculator!C14,"")</f>
        <v/>
      </c>
      <c r="E331" s="28" t="str">
        <f>IF(325&lt;=Calculator!C9,G330*Calculator!C11,"")</f>
        <v/>
      </c>
      <c r="F331" s="28" t="str">
        <f>IF(325&lt;=Calculator!C9,D331-E331,"")</f>
        <v/>
      </c>
      <c r="G331" s="28" t="str">
        <f>IF(325&lt;=Calculator!C9,G330-F331,"")</f>
        <v/>
      </c>
    </row>
    <row r="332" spans="2:7" x14ac:dyDescent="0.25">
      <c r="B332" s="29" t="str">
        <f>IF(326&lt;=Calculator!C9,326,"")</f>
        <v/>
      </c>
      <c r="C332" s="30" t="str">
        <f>IF(326&lt;=Calculator!C9,EDATE(Calculator!C10,326-1),"")</f>
        <v/>
      </c>
      <c r="D332" s="31" t="str">
        <f>IF(326&lt;=Calculator!C9,Calculator!C14,"")</f>
        <v/>
      </c>
      <c r="E332" s="31" t="str">
        <f>IF(326&lt;=Calculator!C9,G331*Calculator!C11,"")</f>
        <v/>
      </c>
      <c r="F332" s="31" t="str">
        <f>IF(326&lt;=Calculator!C9,D332-E332,"")</f>
        <v/>
      </c>
      <c r="G332" s="31" t="str">
        <f>IF(326&lt;=Calculator!C9,G331-F332,"")</f>
        <v/>
      </c>
    </row>
    <row r="333" spans="2:7" x14ac:dyDescent="0.25">
      <c r="B333" s="26" t="str">
        <f>IF(327&lt;=Calculator!C9,327,"")</f>
        <v/>
      </c>
      <c r="C333" s="27" t="str">
        <f>IF(327&lt;=Calculator!C9,EDATE(Calculator!C10,327-1),"")</f>
        <v/>
      </c>
      <c r="D333" s="28" t="str">
        <f>IF(327&lt;=Calculator!C9,Calculator!C14,"")</f>
        <v/>
      </c>
      <c r="E333" s="28" t="str">
        <f>IF(327&lt;=Calculator!C9,G332*Calculator!C11,"")</f>
        <v/>
      </c>
      <c r="F333" s="28" t="str">
        <f>IF(327&lt;=Calculator!C9,D333-E333,"")</f>
        <v/>
      </c>
      <c r="G333" s="28" t="str">
        <f>IF(327&lt;=Calculator!C9,G332-F333,"")</f>
        <v/>
      </c>
    </row>
    <row r="334" spans="2:7" x14ac:dyDescent="0.25">
      <c r="B334" s="29" t="str">
        <f>IF(328&lt;=Calculator!C9,328,"")</f>
        <v/>
      </c>
      <c r="C334" s="30" t="str">
        <f>IF(328&lt;=Calculator!C9,EDATE(Calculator!C10,328-1),"")</f>
        <v/>
      </c>
      <c r="D334" s="31" t="str">
        <f>IF(328&lt;=Calculator!C9,Calculator!C14,"")</f>
        <v/>
      </c>
      <c r="E334" s="31" t="str">
        <f>IF(328&lt;=Calculator!C9,G333*Calculator!C11,"")</f>
        <v/>
      </c>
      <c r="F334" s="31" t="str">
        <f>IF(328&lt;=Calculator!C9,D334-E334,"")</f>
        <v/>
      </c>
      <c r="G334" s="31" t="str">
        <f>IF(328&lt;=Calculator!C9,G333-F334,"")</f>
        <v/>
      </c>
    </row>
    <row r="335" spans="2:7" x14ac:dyDescent="0.25">
      <c r="B335" s="26" t="str">
        <f>IF(329&lt;=Calculator!C9,329,"")</f>
        <v/>
      </c>
      <c r="C335" s="27" t="str">
        <f>IF(329&lt;=Calculator!C9,EDATE(Calculator!C10,329-1),"")</f>
        <v/>
      </c>
      <c r="D335" s="28" t="str">
        <f>IF(329&lt;=Calculator!C9,Calculator!C14,"")</f>
        <v/>
      </c>
      <c r="E335" s="28" t="str">
        <f>IF(329&lt;=Calculator!C9,G334*Calculator!C11,"")</f>
        <v/>
      </c>
      <c r="F335" s="28" t="str">
        <f>IF(329&lt;=Calculator!C9,D335-E335,"")</f>
        <v/>
      </c>
      <c r="G335" s="28" t="str">
        <f>IF(329&lt;=Calculator!C9,G334-F335,"")</f>
        <v/>
      </c>
    </row>
    <row r="336" spans="2:7" x14ac:dyDescent="0.25">
      <c r="B336" s="29" t="str">
        <f>IF(330&lt;=Calculator!C9,330,"")</f>
        <v/>
      </c>
      <c r="C336" s="30" t="str">
        <f>IF(330&lt;=Calculator!C9,EDATE(Calculator!C10,330-1),"")</f>
        <v/>
      </c>
      <c r="D336" s="31" t="str">
        <f>IF(330&lt;=Calculator!C9,Calculator!C14,"")</f>
        <v/>
      </c>
      <c r="E336" s="31" t="str">
        <f>IF(330&lt;=Calculator!C9,G335*Calculator!C11,"")</f>
        <v/>
      </c>
      <c r="F336" s="31" t="str">
        <f>IF(330&lt;=Calculator!C9,D336-E336,"")</f>
        <v/>
      </c>
      <c r="G336" s="31" t="str">
        <f>IF(330&lt;=Calculator!C9,G335-F336,"")</f>
        <v/>
      </c>
    </row>
    <row r="337" spans="2:7" x14ac:dyDescent="0.25">
      <c r="B337" s="26" t="str">
        <f>IF(331&lt;=Calculator!C9,331,"")</f>
        <v/>
      </c>
      <c r="C337" s="27" t="str">
        <f>IF(331&lt;=Calculator!C9,EDATE(Calculator!C10,331-1),"")</f>
        <v/>
      </c>
      <c r="D337" s="28" t="str">
        <f>IF(331&lt;=Calculator!C9,Calculator!C14,"")</f>
        <v/>
      </c>
      <c r="E337" s="28" t="str">
        <f>IF(331&lt;=Calculator!C9,G336*Calculator!C11,"")</f>
        <v/>
      </c>
      <c r="F337" s="28" t="str">
        <f>IF(331&lt;=Calculator!C9,D337-E337,"")</f>
        <v/>
      </c>
      <c r="G337" s="28" t="str">
        <f>IF(331&lt;=Calculator!C9,G336-F337,"")</f>
        <v/>
      </c>
    </row>
    <row r="338" spans="2:7" x14ac:dyDescent="0.25">
      <c r="B338" s="29" t="str">
        <f>IF(332&lt;=Calculator!C9,332,"")</f>
        <v/>
      </c>
      <c r="C338" s="30" t="str">
        <f>IF(332&lt;=Calculator!C9,EDATE(Calculator!C10,332-1),"")</f>
        <v/>
      </c>
      <c r="D338" s="31" t="str">
        <f>IF(332&lt;=Calculator!C9,Calculator!C14,"")</f>
        <v/>
      </c>
      <c r="E338" s="31" t="str">
        <f>IF(332&lt;=Calculator!C9,G337*Calculator!C11,"")</f>
        <v/>
      </c>
      <c r="F338" s="31" t="str">
        <f>IF(332&lt;=Calculator!C9,D338-E338,"")</f>
        <v/>
      </c>
      <c r="G338" s="31" t="str">
        <f>IF(332&lt;=Calculator!C9,G337-F338,"")</f>
        <v/>
      </c>
    </row>
    <row r="339" spans="2:7" x14ac:dyDescent="0.25">
      <c r="B339" s="26" t="str">
        <f>IF(333&lt;=Calculator!C9,333,"")</f>
        <v/>
      </c>
      <c r="C339" s="27" t="str">
        <f>IF(333&lt;=Calculator!C9,EDATE(Calculator!C10,333-1),"")</f>
        <v/>
      </c>
      <c r="D339" s="28" t="str">
        <f>IF(333&lt;=Calculator!C9,Calculator!C14,"")</f>
        <v/>
      </c>
      <c r="E339" s="28" t="str">
        <f>IF(333&lt;=Calculator!C9,G338*Calculator!C11,"")</f>
        <v/>
      </c>
      <c r="F339" s="28" t="str">
        <f>IF(333&lt;=Calculator!C9,D339-E339,"")</f>
        <v/>
      </c>
      <c r="G339" s="28" t="str">
        <f>IF(333&lt;=Calculator!C9,G338-F339,"")</f>
        <v/>
      </c>
    </row>
    <row r="340" spans="2:7" x14ac:dyDescent="0.25">
      <c r="B340" s="29" t="str">
        <f>IF(334&lt;=Calculator!C9,334,"")</f>
        <v/>
      </c>
      <c r="C340" s="30" t="str">
        <f>IF(334&lt;=Calculator!C9,EDATE(Calculator!C10,334-1),"")</f>
        <v/>
      </c>
      <c r="D340" s="31" t="str">
        <f>IF(334&lt;=Calculator!C9,Calculator!C14,"")</f>
        <v/>
      </c>
      <c r="E340" s="31" t="str">
        <f>IF(334&lt;=Calculator!C9,G339*Calculator!C11,"")</f>
        <v/>
      </c>
      <c r="F340" s="31" t="str">
        <f>IF(334&lt;=Calculator!C9,D340-E340,"")</f>
        <v/>
      </c>
      <c r="G340" s="31" t="str">
        <f>IF(334&lt;=Calculator!C9,G339-F340,"")</f>
        <v/>
      </c>
    </row>
    <row r="341" spans="2:7" x14ac:dyDescent="0.25">
      <c r="B341" s="26" t="str">
        <f>IF(335&lt;=Calculator!C9,335,"")</f>
        <v/>
      </c>
      <c r="C341" s="27" t="str">
        <f>IF(335&lt;=Calculator!C9,EDATE(Calculator!C10,335-1),"")</f>
        <v/>
      </c>
      <c r="D341" s="28" t="str">
        <f>IF(335&lt;=Calculator!C9,Calculator!C14,"")</f>
        <v/>
      </c>
      <c r="E341" s="28" t="str">
        <f>IF(335&lt;=Calculator!C9,G340*Calculator!C11,"")</f>
        <v/>
      </c>
      <c r="F341" s="28" t="str">
        <f>IF(335&lt;=Calculator!C9,D341-E341,"")</f>
        <v/>
      </c>
      <c r="G341" s="28" t="str">
        <f>IF(335&lt;=Calculator!C9,G340-F341,"")</f>
        <v/>
      </c>
    </row>
    <row r="342" spans="2:7" x14ac:dyDescent="0.25">
      <c r="B342" s="29" t="str">
        <f>IF(336&lt;=Calculator!C9,336,"")</f>
        <v/>
      </c>
      <c r="C342" s="30" t="str">
        <f>IF(336&lt;=Calculator!C9,EDATE(Calculator!C10,336-1),"")</f>
        <v/>
      </c>
      <c r="D342" s="31" t="str">
        <f>IF(336&lt;=Calculator!C9,Calculator!C14,"")</f>
        <v/>
      </c>
      <c r="E342" s="31" t="str">
        <f>IF(336&lt;=Calculator!C9,G341*Calculator!C11,"")</f>
        <v/>
      </c>
      <c r="F342" s="31" t="str">
        <f>IF(336&lt;=Calculator!C9,D342-E342,"")</f>
        <v/>
      </c>
      <c r="G342" s="31" t="str">
        <f>IF(336&lt;=Calculator!C9,G341-F342,"")</f>
        <v/>
      </c>
    </row>
    <row r="343" spans="2:7" x14ac:dyDescent="0.25">
      <c r="B343" s="26" t="str">
        <f>IF(337&lt;=Calculator!C9,337,"")</f>
        <v/>
      </c>
      <c r="C343" s="27" t="str">
        <f>IF(337&lt;=Calculator!C9,EDATE(Calculator!C10,337-1),"")</f>
        <v/>
      </c>
      <c r="D343" s="28" t="str">
        <f>IF(337&lt;=Calculator!C9,Calculator!C14,"")</f>
        <v/>
      </c>
      <c r="E343" s="28" t="str">
        <f>IF(337&lt;=Calculator!C9,G342*Calculator!C11,"")</f>
        <v/>
      </c>
      <c r="F343" s="28" t="str">
        <f>IF(337&lt;=Calculator!C9,D343-E343,"")</f>
        <v/>
      </c>
      <c r="G343" s="28" t="str">
        <f>IF(337&lt;=Calculator!C9,G342-F343,"")</f>
        <v/>
      </c>
    </row>
    <row r="344" spans="2:7" x14ac:dyDescent="0.25">
      <c r="B344" s="29" t="str">
        <f>IF(338&lt;=Calculator!C9,338,"")</f>
        <v/>
      </c>
      <c r="C344" s="30" t="str">
        <f>IF(338&lt;=Calculator!C9,EDATE(Calculator!C10,338-1),"")</f>
        <v/>
      </c>
      <c r="D344" s="31" t="str">
        <f>IF(338&lt;=Calculator!C9,Calculator!C14,"")</f>
        <v/>
      </c>
      <c r="E344" s="31" t="str">
        <f>IF(338&lt;=Calculator!C9,G343*Calculator!C11,"")</f>
        <v/>
      </c>
      <c r="F344" s="31" t="str">
        <f>IF(338&lt;=Calculator!C9,D344-E344,"")</f>
        <v/>
      </c>
      <c r="G344" s="31" t="str">
        <f>IF(338&lt;=Calculator!C9,G343-F344,"")</f>
        <v/>
      </c>
    </row>
    <row r="345" spans="2:7" x14ac:dyDescent="0.25">
      <c r="B345" s="26" t="str">
        <f>IF(339&lt;=Calculator!C9,339,"")</f>
        <v/>
      </c>
      <c r="C345" s="27" t="str">
        <f>IF(339&lt;=Calculator!C9,EDATE(Calculator!C10,339-1),"")</f>
        <v/>
      </c>
      <c r="D345" s="28" t="str">
        <f>IF(339&lt;=Calculator!C9,Calculator!C14,"")</f>
        <v/>
      </c>
      <c r="E345" s="28" t="str">
        <f>IF(339&lt;=Calculator!C9,G344*Calculator!C11,"")</f>
        <v/>
      </c>
      <c r="F345" s="28" t="str">
        <f>IF(339&lt;=Calculator!C9,D345-E345,"")</f>
        <v/>
      </c>
      <c r="G345" s="28" t="str">
        <f>IF(339&lt;=Calculator!C9,G344-F345,"")</f>
        <v/>
      </c>
    </row>
    <row r="346" spans="2:7" x14ac:dyDescent="0.25">
      <c r="B346" s="29" t="str">
        <f>IF(340&lt;=Calculator!C9,340,"")</f>
        <v/>
      </c>
      <c r="C346" s="30" t="str">
        <f>IF(340&lt;=Calculator!C9,EDATE(Calculator!C10,340-1),"")</f>
        <v/>
      </c>
      <c r="D346" s="31" t="str">
        <f>IF(340&lt;=Calculator!C9,Calculator!C14,"")</f>
        <v/>
      </c>
      <c r="E346" s="31" t="str">
        <f>IF(340&lt;=Calculator!C9,G345*Calculator!C11,"")</f>
        <v/>
      </c>
      <c r="F346" s="31" t="str">
        <f>IF(340&lt;=Calculator!C9,D346-E346,"")</f>
        <v/>
      </c>
      <c r="G346" s="31" t="str">
        <f>IF(340&lt;=Calculator!C9,G345-F346,"")</f>
        <v/>
      </c>
    </row>
    <row r="347" spans="2:7" x14ac:dyDescent="0.25">
      <c r="B347" s="26" t="str">
        <f>IF(341&lt;=Calculator!C9,341,"")</f>
        <v/>
      </c>
      <c r="C347" s="27" t="str">
        <f>IF(341&lt;=Calculator!C9,EDATE(Calculator!C10,341-1),"")</f>
        <v/>
      </c>
      <c r="D347" s="28" t="str">
        <f>IF(341&lt;=Calculator!C9,Calculator!C14,"")</f>
        <v/>
      </c>
      <c r="E347" s="28" t="str">
        <f>IF(341&lt;=Calculator!C9,G346*Calculator!C11,"")</f>
        <v/>
      </c>
      <c r="F347" s="28" t="str">
        <f>IF(341&lt;=Calculator!C9,D347-E347,"")</f>
        <v/>
      </c>
      <c r="G347" s="28" t="str">
        <f>IF(341&lt;=Calculator!C9,G346-F347,"")</f>
        <v/>
      </c>
    </row>
    <row r="348" spans="2:7" x14ac:dyDescent="0.25">
      <c r="B348" s="29" t="str">
        <f>IF(342&lt;=Calculator!C9,342,"")</f>
        <v/>
      </c>
      <c r="C348" s="30" t="str">
        <f>IF(342&lt;=Calculator!C9,EDATE(Calculator!C10,342-1),"")</f>
        <v/>
      </c>
      <c r="D348" s="31" t="str">
        <f>IF(342&lt;=Calculator!C9,Calculator!C14,"")</f>
        <v/>
      </c>
      <c r="E348" s="31" t="str">
        <f>IF(342&lt;=Calculator!C9,G347*Calculator!C11,"")</f>
        <v/>
      </c>
      <c r="F348" s="31" t="str">
        <f>IF(342&lt;=Calculator!C9,D348-E348,"")</f>
        <v/>
      </c>
      <c r="G348" s="31" t="str">
        <f>IF(342&lt;=Calculator!C9,G347-F348,"")</f>
        <v/>
      </c>
    </row>
    <row r="349" spans="2:7" x14ac:dyDescent="0.25">
      <c r="B349" s="26" t="str">
        <f>IF(343&lt;=Calculator!C9,343,"")</f>
        <v/>
      </c>
      <c r="C349" s="27" t="str">
        <f>IF(343&lt;=Calculator!C9,EDATE(Calculator!C10,343-1),"")</f>
        <v/>
      </c>
      <c r="D349" s="28" t="str">
        <f>IF(343&lt;=Calculator!C9,Calculator!C14,"")</f>
        <v/>
      </c>
      <c r="E349" s="28" t="str">
        <f>IF(343&lt;=Calculator!C9,G348*Calculator!C11,"")</f>
        <v/>
      </c>
      <c r="F349" s="28" t="str">
        <f>IF(343&lt;=Calculator!C9,D349-E349,"")</f>
        <v/>
      </c>
      <c r="G349" s="28" t="str">
        <f>IF(343&lt;=Calculator!C9,G348-F349,"")</f>
        <v/>
      </c>
    </row>
    <row r="350" spans="2:7" x14ac:dyDescent="0.25">
      <c r="B350" s="29" t="str">
        <f>IF(344&lt;=Calculator!C9,344,"")</f>
        <v/>
      </c>
      <c r="C350" s="30" t="str">
        <f>IF(344&lt;=Calculator!C9,EDATE(Calculator!C10,344-1),"")</f>
        <v/>
      </c>
      <c r="D350" s="31" t="str">
        <f>IF(344&lt;=Calculator!C9,Calculator!C14,"")</f>
        <v/>
      </c>
      <c r="E350" s="31" t="str">
        <f>IF(344&lt;=Calculator!C9,G349*Calculator!C11,"")</f>
        <v/>
      </c>
      <c r="F350" s="31" t="str">
        <f>IF(344&lt;=Calculator!C9,D350-E350,"")</f>
        <v/>
      </c>
      <c r="G350" s="31" t="str">
        <f>IF(344&lt;=Calculator!C9,G349-F350,"")</f>
        <v/>
      </c>
    </row>
    <row r="351" spans="2:7" x14ac:dyDescent="0.25">
      <c r="B351" s="26" t="str">
        <f>IF(345&lt;=Calculator!C9,345,"")</f>
        <v/>
      </c>
      <c r="C351" s="27" t="str">
        <f>IF(345&lt;=Calculator!C9,EDATE(Calculator!C10,345-1),"")</f>
        <v/>
      </c>
      <c r="D351" s="28" t="str">
        <f>IF(345&lt;=Calculator!C9,Calculator!C14,"")</f>
        <v/>
      </c>
      <c r="E351" s="28" t="str">
        <f>IF(345&lt;=Calculator!C9,G350*Calculator!C11,"")</f>
        <v/>
      </c>
      <c r="F351" s="28" t="str">
        <f>IF(345&lt;=Calculator!C9,D351-E351,"")</f>
        <v/>
      </c>
      <c r="G351" s="28" t="str">
        <f>IF(345&lt;=Calculator!C9,G350-F351,"")</f>
        <v/>
      </c>
    </row>
    <row r="352" spans="2:7" x14ac:dyDescent="0.25">
      <c r="B352" s="29" t="str">
        <f>IF(346&lt;=Calculator!C9,346,"")</f>
        <v/>
      </c>
      <c r="C352" s="30" t="str">
        <f>IF(346&lt;=Calculator!C9,EDATE(Calculator!C10,346-1),"")</f>
        <v/>
      </c>
      <c r="D352" s="31" t="str">
        <f>IF(346&lt;=Calculator!C9,Calculator!C14,"")</f>
        <v/>
      </c>
      <c r="E352" s="31" t="str">
        <f>IF(346&lt;=Calculator!C9,G351*Calculator!C11,"")</f>
        <v/>
      </c>
      <c r="F352" s="31" t="str">
        <f>IF(346&lt;=Calculator!C9,D352-E352,"")</f>
        <v/>
      </c>
      <c r="G352" s="31" t="str">
        <f>IF(346&lt;=Calculator!C9,G351-F352,"")</f>
        <v/>
      </c>
    </row>
    <row r="353" spans="2:7" x14ac:dyDescent="0.25">
      <c r="B353" s="26" t="str">
        <f>IF(347&lt;=Calculator!C9,347,"")</f>
        <v/>
      </c>
      <c r="C353" s="27" t="str">
        <f>IF(347&lt;=Calculator!C9,EDATE(Calculator!C10,347-1),"")</f>
        <v/>
      </c>
      <c r="D353" s="28" t="str">
        <f>IF(347&lt;=Calculator!C9,Calculator!C14,"")</f>
        <v/>
      </c>
      <c r="E353" s="28" t="str">
        <f>IF(347&lt;=Calculator!C9,G352*Calculator!C11,"")</f>
        <v/>
      </c>
      <c r="F353" s="28" t="str">
        <f>IF(347&lt;=Calculator!C9,D353-E353,"")</f>
        <v/>
      </c>
      <c r="G353" s="28" t="str">
        <f>IF(347&lt;=Calculator!C9,G352-F353,"")</f>
        <v/>
      </c>
    </row>
    <row r="354" spans="2:7" x14ac:dyDescent="0.25">
      <c r="B354" s="29" t="str">
        <f>IF(348&lt;=Calculator!C9,348,"")</f>
        <v/>
      </c>
      <c r="C354" s="30" t="str">
        <f>IF(348&lt;=Calculator!C9,EDATE(Calculator!C10,348-1),"")</f>
        <v/>
      </c>
      <c r="D354" s="31" t="str">
        <f>IF(348&lt;=Calculator!C9,Calculator!C14,"")</f>
        <v/>
      </c>
      <c r="E354" s="31" t="str">
        <f>IF(348&lt;=Calculator!C9,G353*Calculator!C11,"")</f>
        <v/>
      </c>
      <c r="F354" s="31" t="str">
        <f>IF(348&lt;=Calculator!C9,D354-E354,"")</f>
        <v/>
      </c>
      <c r="G354" s="31" t="str">
        <f>IF(348&lt;=Calculator!C9,G353-F354,"")</f>
        <v/>
      </c>
    </row>
    <row r="355" spans="2:7" x14ac:dyDescent="0.25">
      <c r="B355" s="26" t="str">
        <f>IF(349&lt;=Calculator!C9,349,"")</f>
        <v/>
      </c>
      <c r="C355" s="27" t="str">
        <f>IF(349&lt;=Calculator!C9,EDATE(Calculator!C10,349-1),"")</f>
        <v/>
      </c>
      <c r="D355" s="28" t="str">
        <f>IF(349&lt;=Calculator!C9,Calculator!C14,"")</f>
        <v/>
      </c>
      <c r="E355" s="28" t="str">
        <f>IF(349&lt;=Calculator!C9,G354*Calculator!C11,"")</f>
        <v/>
      </c>
      <c r="F355" s="28" t="str">
        <f>IF(349&lt;=Calculator!C9,D355-E355,"")</f>
        <v/>
      </c>
      <c r="G355" s="28" t="str">
        <f>IF(349&lt;=Calculator!C9,G354-F355,"")</f>
        <v/>
      </c>
    </row>
    <row r="356" spans="2:7" x14ac:dyDescent="0.25">
      <c r="B356" s="29" t="str">
        <f>IF(350&lt;=Calculator!C9,350,"")</f>
        <v/>
      </c>
      <c r="C356" s="30" t="str">
        <f>IF(350&lt;=Calculator!C9,EDATE(Calculator!C10,350-1),"")</f>
        <v/>
      </c>
      <c r="D356" s="31" t="str">
        <f>IF(350&lt;=Calculator!C9,Calculator!C14,"")</f>
        <v/>
      </c>
      <c r="E356" s="31" t="str">
        <f>IF(350&lt;=Calculator!C9,G355*Calculator!C11,"")</f>
        <v/>
      </c>
      <c r="F356" s="31" t="str">
        <f>IF(350&lt;=Calculator!C9,D356-E356,"")</f>
        <v/>
      </c>
      <c r="G356" s="31" t="str">
        <f>IF(350&lt;=Calculator!C9,G355-F356,"")</f>
        <v/>
      </c>
    </row>
    <row r="357" spans="2:7" x14ac:dyDescent="0.25">
      <c r="B357" s="26" t="str">
        <f>IF(351&lt;=Calculator!C9,351,"")</f>
        <v/>
      </c>
      <c r="C357" s="27" t="str">
        <f>IF(351&lt;=Calculator!C9,EDATE(Calculator!C10,351-1),"")</f>
        <v/>
      </c>
      <c r="D357" s="28" t="str">
        <f>IF(351&lt;=Calculator!C9,Calculator!C14,"")</f>
        <v/>
      </c>
      <c r="E357" s="28" t="str">
        <f>IF(351&lt;=Calculator!C9,G356*Calculator!C11,"")</f>
        <v/>
      </c>
      <c r="F357" s="28" t="str">
        <f>IF(351&lt;=Calculator!C9,D357-E357,"")</f>
        <v/>
      </c>
      <c r="G357" s="28" t="str">
        <f>IF(351&lt;=Calculator!C9,G356-F357,"")</f>
        <v/>
      </c>
    </row>
    <row r="358" spans="2:7" x14ac:dyDescent="0.25">
      <c r="B358" s="29" t="str">
        <f>IF(352&lt;=Calculator!C9,352,"")</f>
        <v/>
      </c>
      <c r="C358" s="30" t="str">
        <f>IF(352&lt;=Calculator!C9,EDATE(Calculator!C10,352-1),"")</f>
        <v/>
      </c>
      <c r="D358" s="31" t="str">
        <f>IF(352&lt;=Calculator!C9,Calculator!C14,"")</f>
        <v/>
      </c>
      <c r="E358" s="31" t="str">
        <f>IF(352&lt;=Calculator!C9,G357*Calculator!C11,"")</f>
        <v/>
      </c>
      <c r="F358" s="31" t="str">
        <f>IF(352&lt;=Calculator!C9,D358-E358,"")</f>
        <v/>
      </c>
      <c r="G358" s="31" t="str">
        <f>IF(352&lt;=Calculator!C9,G357-F358,"")</f>
        <v/>
      </c>
    </row>
    <row r="359" spans="2:7" x14ac:dyDescent="0.25">
      <c r="B359" s="26" t="str">
        <f>IF(353&lt;=Calculator!C9,353,"")</f>
        <v/>
      </c>
      <c r="C359" s="27" t="str">
        <f>IF(353&lt;=Calculator!C9,EDATE(Calculator!C10,353-1),"")</f>
        <v/>
      </c>
      <c r="D359" s="28" t="str">
        <f>IF(353&lt;=Calculator!C9,Calculator!C14,"")</f>
        <v/>
      </c>
      <c r="E359" s="28" t="str">
        <f>IF(353&lt;=Calculator!C9,G358*Calculator!C11,"")</f>
        <v/>
      </c>
      <c r="F359" s="28" t="str">
        <f>IF(353&lt;=Calculator!C9,D359-E359,"")</f>
        <v/>
      </c>
      <c r="G359" s="28" t="str">
        <f>IF(353&lt;=Calculator!C9,G358-F359,"")</f>
        <v/>
      </c>
    </row>
    <row r="360" spans="2:7" x14ac:dyDescent="0.25">
      <c r="B360" s="29" t="str">
        <f>IF(354&lt;=Calculator!C9,354,"")</f>
        <v/>
      </c>
      <c r="C360" s="30" t="str">
        <f>IF(354&lt;=Calculator!C9,EDATE(Calculator!C10,354-1),"")</f>
        <v/>
      </c>
      <c r="D360" s="31" t="str">
        <f>IF(354&lt;=Calculator!C9,Calculator!C14,"")</f>
        <v/>
      </c>
      <c r="E360" s="31" t="str">
        <f>IF(354&lt;=Calculator!C9,G359*Calculator!C11,"")</f>
        <v/>
      </c>
      <c r="F360" s="31" t="str">
        <f>IF(354&lt;=Calculator!C9,D360-E360,"")</f>
        <v/>
      </c>
      <c r="G360" s="31" t="str">
        <f>IF(354&lt;=Calculator!C9,G359-F360,"")</f>
        <v/>
      </c>
    </row>
    <row r="361" spans="2:7" x14ac:dyDescent="0.25">
      <c r="B361" s="26" t="str">
        <f>IF(355&lt;=Calculator!C9,355,"")</f>
        <v/>
      </c>
      <c r="C361" s="27" t="str">
        <f>IF(355&lt;=Calculator!C9,EDATE(Calculator!C10,355-1),"")</f>
        <v/>
      </c>
      <c r="D361" s="28" t="str">
        <f>IF(355&lt;=Calculator!C9,Calculator!C14,"")</f>
        <v/>
      </c>
      <c r="E361" s="28" t="str">
        <f>IF(355&lt;=Calculator!C9,G360*Calculator!C11,"")</f>
        <v/>
      </c>
      <c r="F361" s="28" t="str">
        <f>IF(355&lt;=Calculator!C9,D361-E361,"")</f>
        <v/>
      </c>
      <c r="G361" s="28" t="str">
        <f>IF(355&lt;=Calculator!C9,G360-F361,"")</f>
        <v/>
      </c>
    </row>
    <row r="362" spans="2:7" x14ac:dyDescent="0.25">
      <c r="B362" s="29" t="str">
        <f>IF(356&lt;=Calculator!C9,356,"")</f>
        <v/>
      </c>
      <c r="C362" s="30" t="str">
        <f>IF(356&lt;=Calculator!C9,EDATE(Calculator!C10,356-1),"")</f>
        <v/>
      </c>
      <c r="D362" s="31" t="str">
        <f>IF(356&lt;=Calculator!C9,Calculator!C14,"")</f>
        <v/>
      </c>
      <c r="E362" s="31" t="str">
        <f>IF(356&lt;=Calculator!C9,G361*Calculator!C11,"")</f>
        <v/>
      </c>
      <c r="F362" s="31" t="str">
        <f>IF(356&lt;=Calculator!C9,D362-E362,"")</f>
        <v/>
      </c>
      <c r="G362" s="31" t="str">
        <f>IF(356&lt;=Calculator!C9,G361-F362,"")</f>
        <v/>
      </c>
    </row>
    <row r="363" spans="2:7" x14ac:dyDescent="0.25">
      <c r="B363" s="26" t="str">
        <f>IF(357&lt;=Calculator!C9,357,"")</f>
        <v/>
      </c>
      <c r="C363" s="27" t="str">
        <f>IF(357&lt;=Calculator!C9,EDATE(Calculator!C10,357-1),"")</f>
        <v/>
      </c>
      <c r="D363" s="28" t="str">
        <f>IF(357&lt;=Calculator!C9,Calculator!C14,"")</f>
        <v/>
      </c>
      <c r="E363" s="28" t="str">
        <f>IF(357&lt;=Calculator!C9,G362*Calculator!C11,"")</f>
        <v/>
      </c>
      <c r="F363" s="28" t="str">
        <f>IF(357&lt;=Calculator!C9,D363-E363,"")</f>
        <v/>
      </c>
      <c r="G363" s="28" t="str">
        <f>IF(357&lt;=Calculator!C9,G362-F363,"")</f>
        <v/>
      </c>
    </row>
    <row r="364" spans="2:7" x14ac:dyDescent="0.25">
      <c r="B364" s="29" t="str">
        <f>IF(358&lt;=Calculator!C9,358,"")</f>
        <v/>
      </c>
      <c r="C364" s="30" t="str">
        <f>IF(358&lt;=Calculator!C9,EDATE(Calculator!C10,358-1),"")</f>
        <v/>
      </c>
      <c r="D364" s="31" t="str">
        <f>IF(358&lt;=Calculator!C9,Calculator!C14,"")</f>
        <v/>
      </c>
      <c r="E364" s="31" t="str">
        <f>IF(358&lt;=Calculator!C9,G363*Calculator!C11,"")</f>
        <v/>
      </c>
      <c r="F364" s="31" t="str">
        <f>IF(358&lt;=Calculator!C9,D364-E364,"")</f>
        <v/>
      </c>
      <c r="G364" s="31" t="str">
        <f>IF(358&lt;=Calculator!C9,G363-F364,"")</f>
        <v/>
      </c>
    </row>
    <row r="365" spans="2:7" x14ac:dyDescent="0.25">
      <c r="B365" s="26" t="str">
        <f>IF(359&lt;=Calculator!C9,359,"")</f>
        <v/>
      </c>
      <c r="C365" s="27" t="str">
        <f>IF(359&lt;=Calculator!C9,EDATE(Calculator!C10,359-1),"")</f>
        <v/>
      </c>
      <c r="D365" s="28" t="str">
        <f>IF(359&lt;=Calculator!C9,Calculator!C14,"")</f>
        <v/>
      </c>
      <c r="E365" s="28" t="str">
        <f>IF(359&lt;=Calculator!C9,G364*Calculator!C11,"")</f>
        <v/>
      </c>
      <c r="F365" s="28" t="str">
        <f>IF(359&lt;=Calculator!C9,D365-E365,"")</f>
        <v/>
      </c>
      <c r="G365" s="28" t="str">
        <f>IF(359&lt;=Calculator!C9,G364-F365,"")</f>
        <v/>
      </c>
    </row>
    <row r="366" spans="2:7" x14ac:dyDescent="0.25">
      <c r="B366" s="29" t="str">
        <f>IF(360&lt;=Calculator!C9,360,"")</f>
        <v/>
      </c>
      <c r="C366" s="30" t="str">
        <f>IF(360&lt;=Calculator!C9,EDATE(Calculator!C10,360-1),"")</f>
        <v/>
      </c>
      <c r="D366" s="31" t="str">
        <f>IF(360&lt;=Calculator!C9,Calculator!C14,"")</f>
        <v/>
      </c>
      <c r="E366" s="31" t="str">
        <f>IF(360&lt;=Calculator!C9,G365*Calculator!C11,"")</f>
        <v/>
      </c>
      <c r="F366" s="31" t="str">
        <f>IF(360&lt;=Calculator!C9,D366-E366,"")</f>
        <v/>
      </c>
      <c r="G366" s="31" t="str">
        <f>IF(360&lt;=Calculator!C9,G365-F366,"")</f>
        <v/>
      </c>
    </row>
    <row r="369" spans="1:8" ht="18" customHeight="1" x14ac:dyDescent="0.25">
      <c r="A369" s="2" t="s">
        <v>14</v>
      </c>
      <c r="B369" s="2"/>
      <c r="C369" s="2"/>
      <c r="D369" s="2"/>
      <c r="E369" s="2"/>
      <c r="F369" s="2"/>
      <c r="G369" s="2"/>
      <c r="H369" s="2"/>
    </row>
  </sheetData>
  <sheetProtection password="BBBC" sheet="1" objects="1" scenarios="1" autoFilter="0"/>
  <mergeCells count="5">
    <mergeCell ref="A1:H1"/>
    <mergeCell ref="A2:H2"/>
    <mergeCell ref="A3:H3"/>
    <mergeCell ref="A4:H4"/>
    <mergeCell ref="A369:H369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0"/>
  <sheetViews>
    <sheetView zoomScaleNormal="100" workbookViewId="0">
      <selection sqref="A1:H1"/>
    </sheetView>
  </sheetViews>
  <sheetFormatPr defaultColWidth="8.7109375" defaultRowHeight="15" x14ac:dyDescent="0.25"/>
  <cols>
    <col min="1" max="1" width="6" customWidth="1"/>
    <col min="2" max="2" width="12" customWidth="1"/>
    <col min="3" max="6" width="18" customWidth="1"/>
    <col min="7" max="8" width="6" customWidth="1"/>
  </cols>
  <sheetData>
    <row r="1" spans="1:8" ht="25.5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</row>
    <row r="2" spans="1:8" ht="24" customHeight="1" x14ac:dyDescent="0.25">
      <c r="A2" s="10" t="s">
        <v>41</v>
      </c>
      <c r="B2" s="10"/>
      <c r="C2" s="10"/>
      <c r="D2" s="10"/>
      <c r="E2" s="10"/>
      <c r="F2" s="10"/>
      <c r="G2" s="10"/>
      <c r="H2" s="10"/>
    </row>
    <row r="3" spans="1:8" ht="18" customHeight="1" x14ac:dyDescent="0.25">
      <c r="A3" s="9" t="s">
        <v>2</v>
      </c>
      <c r="B3" s="9"/>
      <c r="C3" s="9"/>
      <c r="D3" s="9"/>
      <c r="E3" s="9"/>
      <c r="F3" s="9"/>
      <c r="G3" s="9"/>
      <c r="H3" s="9"/>
    </row>
    <row r="4" spans="1:8" ht="15.75" customHeight="1" x14ac:dyDescent="0.25">
      <c r="A4" s="8" t="s">
        <v>42</v>
      </c>
      <c r="B4" s="8"/>
      <c r="C4" s="8"/>
      <c r="D4" s="8"/>
      <c r="E4" s="8"/>
      <c r="F4" s="8"/>
      <c r="G4" s="8"/>
      <c r="H4" s="8"/>
    </row>
    <row r="6" spans="1:8" ht="21.75" customHeight="1" x14ac:dyDescent="0.25">
      <c r="B6" s="25" t="s">
        <v>43</v>
      </c>
      <c r="C6" s="25" t="s">
        <v>44</v>
      </c>
      <c r="D6" s="25" t="s">
        <v>45</v>
      </c>
      <c r="E6" s="25" t="s">
        <v>46</v>
      </c>
      <c r="F6" s="25" t="s">
        <v>47</v>
      </c>
    </row>
    <row r="7" spans="1:8" x14ac:dyDescent="0.25">
      <c r="B7" s="32">
        <f>IF(1&lt;=Calculator!C9,1,"")</f>
        <v>1</v>
      </c>
      <c r="C7" s="33">
        <f>IF(1&lt;=Calculator!C9,SUMIF('Amortisation Schedule'!B7:B18,"&gt;0",'Amortisation Schedule'!D7:D18),"")</f>
        <v>520693.94001932041</v>
      </c>
      <c r="D7" s="33">
        <f>IF(1&lt;=Calculator!C9,SUMIF('Amortisation Schedule'!B7:B18,"&gt;0",'Amortisation Schedule'!E7:E18),"")</f>
        <v>421182.48064587079</v>
      </c>
      <c r="E7" s="33">
        <f>IF(1&lt;=Calculator!C9,SUMIF('Amortisation Schedule'!B7:B18,"&gt;0",'Amortisation Schedule'!F7:F18),"")</f>
        <v>99511.459373449645</v>
      </c>
      <c r="F7" s="33">
        <f>IFERROR(IF(INDEX('Amortisation Schedule'!G7:G18,MATCH(1E+300,'Amortisation Schedule'!G7:G18))&lt;0.01,0,INDEX('Amortisation Schedule'!G7:G18,MATCH(1E+300,'Amortisation Schedule'!G7:G18))),"")</f>
        <v>4900488.5406265501</v>
      </c>
    </row>
    <row r="8" spans="1:8" x14ac:dyDescent="0.25">
      <c r="B8" s="34">
        <f>IF(13&lt;=Calculator!C9,2,"")</f>
        <v>2</v>
      </c>
      <c r="C8" s="35">
        <f>IF(13&lt;=Calculator!C9,SUMIF('Amortisation Schedule'!B19:B30,"&gt;0",'Amortisation Schedule'!D19:D30),"")</f>
        <v>520693.94001932041</v>
      </c>
      <c r="D8" s="35">
        <f>IF(13&lt;=Calculator!C9,SUMIF('Amortisation Schedule'!B19:B30,"&gt;0",'Amortisation Schedule'!E19:E30),"")</f>
        <v>412386.57260515325</v>
      </c>
      <c r="E8" s="35">
        <f>IF(13&lt;=Calculator!C9,SUMIF('Amortisation Schedule'!B19:B30,"&gt;0",'Amortisation Schedule'!F19:F30),"")</f>
        <v>108307.36741416703</v>
      </c>
      <c r="F8" s="35">
        <f>IFERROR(IF(INDEX('Amortisation Schedule'!G19:G30,MATCH(1E+300,'Amortisation Schedule'!G19:G30))&lt;0.01,0,INDEX('Amortisation Schedule'!G19:G30,MATCH(1E+300,'Amortisation Schedule'!G19:G30))),"")</f>
        <v>4792181.1732123829</v>
      </c>
    </row>
    <row r="9" spans="1:8" x14ac:dyDescent="0.25">
      <c r="B9" s="32">
        <f>IF(25&lt;=Calculator!C9,3,"")</f>
        <v>3</v>
      </c>
      <c r="C9" s="33">
        <f>IF(25&lt;=Calculator!C9,SUMIF('Amortisation Schedule'!B31:B42,"&gt;0",'Amortisation Schedule'!D31:D42),"")</f>
        <v>520693.94001932041</v>
      </c>
      <c r="D9" s="33">
        <f>IF(25&lt;=Calculator!C9,SUMIF('Amortisation Schedule'!B31:B42,"&gt;0",'Amortisation Schedule'!E31:E42),"")</f>
        <v>402813.18628456863</v>
      </c>
      <c r="E9" s="33">
        <f>IF(25&lt;=Calculator!C9,SUMIF('Amortisation Schedule'!B31:B42,"&gt;0",'Amortisation Schedule'!F31:F42),"")</f>
        <v>117880.75373475178</v>
      </c>
      <c r="F9" s="33">
        <f>IFERROR(IF(INDEX('Amortisation Schedule'!G31:G42,MATCH(1E+300,'Amortisation Schedule'!G31:G42))&lt;0.01,0,INDEX('Amortisation Schedule'!G31:G42,MATCH(1E+300,'Amortisation Schedule'!G31:G42))),"")</f>
        <v>4674300.4194776295</v>
      </c>
    </row>
    <row r="10" spans="1:8" x14ac:dyDescent="0.25">
      <c r="B10" s="34">
        <f>IF(37&lt;=Calculator!C9,4,"")</f>
        <v>4</v>
      </c>
      <c r="C10" s="35">
        <f>IF(37&lt;=Calculator!C9,SUMIF('Amortisation Schedule'!B43:B54,"&gt;0",'Amortisation Schedule'!D43:D54),"")</f>
        <v>520693.94001932041</v>
      </c>
      <c r="D10" s="35">
        <f>IF(37&lt;=Calculator!C9,SUMIF('Amortisation Schedule'!B43:B54,"&gt;0",'Amortisation Schedule'!E43:E54),"")</f>
        <v>392393.59967464715</v>
      </c>
      <c r="E10" s="35">
        <f>IF(37&lt;=Calculator!C9,SUMIF('Amortisation Schedule'!B43:B54,"&gt;0",'Amortisation Schedule'!F43:F54),"")</f>
        <v>128300.34034467323</v>
      </c>
      <c r="F10" s="35">
        <f>IFERROR(IF(INDEX('Amortisation Schedule'!G43:G54,MATCH(1E+300,'Amortisation Schedule'!G43:G54))&lt;0.01,0,INDEX('Amortisation Schedule'!G43:G54,MATCH(1E+300,'Amortisation Schedule'!G43:G54))),"")</f>
        <v>4546000.0791329565</v>
      </c>
    </row>
    <row r="11" spans="1:8" x14ac:dyDescent="0.25">
      <c r="B11" s="32">
        <f>IF(49&lt;=Calculator!C9,5,"")</f>
        <v>5</v>
      </c>
      <c r="C11" s="33">
        <f>IF(49&lt;=Calculator!C9,SUMIF('Amortisation Schedule'!B55:B66,"&gt;0",'Amortisation Schedule'!D55:D66),"")</f>
        <v>520693.94001932041</v>
      </c>
      <c r="D11" s="33">
        <f>IF(49&lt;=Calculator!C9,SUMIF('Amortisation Schedule'!B55:B66,"&gt;0",'Amortisation Schedule'!E55:E66),"")</f>
        <v>381053.01636524813</v>
      </c>
      <c r="E11" s="33">
        <f>IF(49&lt;=Calculator!C9,SUMIF('Amortisation Schedule'!B55:B66,"&gt;0",'Amortisation Schedule'!F55:F66),"")</f>
        <v>139640.92365407219</v>
      </c>
      <c r="F11" s="33">
        <f>IFERROR(IF(INDEX('Amortisation Schedule'!G55:G66,MATCH(1E+300,'Amortisation Schedule'!G55:G66))&lt;0.01,0,INDEX('Amortisation Schedule'!G55:G66,MATCH(1E+300,'Amortisation Schedule'!G55:G66))),"")</f>
        <v>4406359.1554788854</v>
      </c>
    </row>
    <row r="12" spans="1:8" x14ac:dyDescent="0.25">
      <c r="B12" s="34">
        <f>IF(61&lt;=Calculator!C9,6,"")</f>
        <v>6</v>
      </c>
      <c r="C12" s="35">
        <f>IF(61&lt;=Calculator!C9,SUMIF('Amortisation Schedule'!B67:B78,"&gt;0",'Amortisation Schedule'!D67:D78),"")</f>
        <v>520693.94001932041</v>
      </c>
      <c r="D12" s="35">
        <f>IF(61&lt;=Calculator!C9,SUMIF('Amortisation Schedule'!B67:B78,"&gt;0",'Amortisation Schedule'!E67:E78),"")</f>
        <v>368710.02862378053</v>
      </c>
      <c r="E12" s="35">
        <f>IF(61&lt;=Calculator!C9,SUMIF('Amortisation Schedule'!B67:B78,"&gt;0",'Amortisation Schedule'!F67:F78),"")</f>
        <v>151983.91139553982</v>
      </c>
      <c r="F12" s="35">
        <f>IFERROR(IF(INDEX('Amortisation Schedule'!G67:G78,MATCH(1E+300,'Amortisation Schedule'!G67:G78))&lt;0.01,0,INDEX('Amortisation Schedule'!G67:G78,MATCH(1E+300,'Amortisation Schedule'!G67:G78))),"")</f>
        <v>4254375.2440833468</v>
      </c>
    </row>
    <row r="13" spans="1:8" x14ac:dyDescent="0.25">
      <c r="B13" s="32">
        <f>IF(73&lt;=Calculator!C9,7,"")</f>
        <v>7</v>
      </c>
      <c r="C13" s="33">
        <f>IF(73&lt;=Calculator!C9,SUMIF('Amortisation Schedule'!B79:B90,"&gt;0",'Amortisation Schedule'!D79:D90),"")</f>
        <v>520693.94001932041</v>
      </c>
      <c r="D13" s="33">
        <f>IF(73&lt;=Calculator!C9,SUMIF('Amortisation Schedule'!B79:B90,"&gt;0",'Amortisation Schedule'!E79:E90),"")</f>
        <v>355276.03301442275</v>
      </c>
      <c r="E13" s="33">
        <f>IF(73&lt;=Calculator!C9,SUMIF('Amortisation Schedule'!B79:B90,"&gt;0",'Amortisation Schedule'!F79:F90),"")</f>
        <v>165417.90700489763</v>
      </c>
      <c r="F13" s="33">
        <f>IFERROR(IF(INDEX('Amortisation Schedule'!G79:G90,MATCH(1E+300,'Amortisation Schedule'!G79:G90))&lt;0.01,0,INDEX('Amortisation Schedule'!G79:G90,MATCH(1E+300,'Amortisation Schedule'!G79:G90))),"")</f>
        <v>4088957.3370784489</v>
      </c>
    </row>
    <row r="14" spans="1:8" x14ac:dyDescent="0.25">
      <c r="B14" s="34">
        <f>IF(85&lt;=Calculator!C9,8,"")</f>
        <v>8</v>
      </c>
      <c r="C14" s="35">
        <f>IF(85&lt;=Calculator!C9,SUMIF('Amortisation Schedule'!B91:B102,"&gt;0",'Amortisation Schedule'!D91:D102),"")</f>
        <v>520693.94001932041</v>
      </c>
      <c r="D14" s="35">
        <f>IF(85&lt;=Calculator!C9,SUMIF('Amortisation Schedule'!B91:B102,"&gt;0",'Amortisation Schedule'!E91:E102),"")</f>
        <v>340654.59436339617</v>
      </c>
      <c r="E14" s="35">
        <f>IF(85&lt;=Calculator!C9,SUMIF('Amortisation Schedule'!B91:B102,"&gt;0",'Amortisation Schedule'!F91:F102),"")</f>
        <v>180039.34565592417</v>
      </c>
      <c r="F14" s="35">
        <f>IFERROR(IF(INDEX('Amortisation Schedule'!G91:G102,MATCH(1E+300,'Amortisation Schedule'!G91:G102))&lt;0.01,0,INDEX('Amortisation Schedule'!G91:G102,MATCH(1E+300,'Amortisation Schedule'!G91:G102))),"")</f>
        <v>3908917.9914225247</v>
      </c>
    </row>
    <row r="15" spans="1:8" x14ac:dyDescent="0.25">
      <c r="B15" s="32">
        <f>IF(97&lt;=Calculator!C9,9,"")</f>
        <v>9</v>
      </c>
      <c r="C15" s="33">
        <f>IF(97&lt;=Calculator!C9,SUMIF('Amortisation Schedule'!B103:B114,"&gt;0",'Amortisation Schedule'!D103:D114),"")</f>
        <v>520693.94001932041</v>
      </c>
      <c r="D15" s="33">
        <f>IF(97&lt;=Calculator!C9,SUMIF('Amortisation Schedule'!B103:B114,"&gt;0",'Amortisation Schedule'!E103:E114),"")</f>
        <v>324740.75350455183</v>
      </c>
      <c r="E15" s="33">
        <f>IF(97&lt;=Calculator!C9,SUMIF('Amortisation Schedule'!B103:B114,"&gt;0",'Amortisation Schedule'!F103:F114),"")</f>
        <v>195953.18651476852</v>
      </c>
      <c r="F15" s="33">
        <f>IFERROR(IF(INDEX('Amortisation Schedule'!G103:G114,MATCH(1E+300,'Amortisation Schedule'!G103:G114))&lt;0.01,0,INDEX('Amortisation Schedule'!G103:G114,MATCH(1E+300,'Amortisation Schedule'!G103:G114))),"")</f>
        <v>3712964.8049077569</v>
      </c>
    </row>
    <row r="16" spans="1:8" x14ac:dyDescent="0.25">
      <c r="B16" s="34">
        <f>IF(109&lt;=Calculator!C9,10,"")</f>
        <v>10</v>
      </c>
      <c r="C16" s="35">
        <f>IF(109&lt;=Calculator!C9,SUMIF('Amortisation Schedule'!B115:B126,"&gt;0",'Amortisation Schedule'!D115:D126),"")</f>
        <v>520693.94001932041</v>
      </c>
      <c r="D16" s="35">
        <f>IF(109&lt;=Calculator!C9,SUMIF('Amortisation Schedule'!B115:B126,"&gt;0",'Amortisation Schedule'!E115:E126),"")</f>
        <v>307420.27383596305</v>
      </c>
      <c r="E16" s="35">
        <f>IF(109&lt;=Calculator!C9,SUMIF('Amortisation Schedule'!B115:B126,"&gt;0",'Amortisation Schedule'!F115:F126),"")</f>
        <v>213273.66618335736</v>
      </c>
      <c r="F16" s="35">
        <f>IFERROR(IF(INDEX('Amortisation Schedule'!G115:G126,MATCH(1E+300,'Amortisation Schedule'!G115:G126))&lt;0.01,0,INDEX('Amortisation Schedule'!G115:G126,MATCH(1E+300,'Amortisation Schedule'!G115:G126))),"")</f>
        <v>3499691.1387244002</v>
      </c>
    </row>
    <row r="17" spans="2:6" x14ac:dyDescent="0.25">
      <c r="B17" s="32">
        <f>IF(121&lt;=Calculator!C9,11,"")</f>
        <v>11</v>
      </c>
      <c r="C17" s="33">
        <f>IF(121&lt;=Calculator!C9,SUMIF('Amortisation Schedule'!B127:B138,"&gt;0",'Amortisation Schedule'!D127:D138),"")</f>
        <v>520693.94001932041</v>
      </c>
      <c r="D17" s="33">
        <f>IF(121&lt;=Calculator!C9,SUMIF('Amortisation Schedule'!B127:B138,"&gt;0",'Amortisation Schedule'!E127:E138),"")</f>
        <v>288568.82127897261</v>
      </c>
      <c r="E17" s="33">
        <f>IF(121&lt;=Calculator!C9,SUMIF('Amortisation Schedule'!B127:B138,"&gt;0",'Amortisation Schedule'!F127:F138),"")</f>
        <v>232125.11874034777</v>
      </c>
      <c r="F17" s="33">
        <f>IFERROR(IF(INDEX('Amortisation Schedule'!G127:G138,MATCH(1E+300,'Amortisation Schedule'!G127:G138))&lt;0.01,0,INDEX('Amortisation Schedule'!G127:G138,MATCH(1E+300,'Amortisation Schedule'!G127:G138))),"")</f>
        <v>3267566.0199840516</v>
      </c>
    </row>
    <row r="18" spans="2:6" x14ac:dyDescent="0.25">
      <c r="B18" s="34">
        <f>IF(133&lt;=Calculator!C9,12,"")</f>
        <v>12</v>
      </c>
      <c r="C18" s="35">
        <f>IF(133&lt;=Calculator!C9,SUMIF('Amortisation Schedule'!B139:B150,"&gt;0",'Amortisation Schedule'!D139:D150),"")</f>
        <v>520693.94001932041</v>
      </c>
      <c r="D18" s="35">
        <f>IF(133&lt;=Calculator!C9,SUMIF('Amortisation Schedule'!B139:B150,"&gt;0",'Amortisation Schedule'!E139:E150),"")</f>
        <v>268051.07175307767</v>
      </c>
      <c r="E18" s="35">
        <f>IF(133&lt;=Calculator!C9,SUMIF('Amortisation Schedule'!B139:B150,"&gt;0",'Amortisation Schedule'!F139:F150),"")</f>
        <v>252642.8682662427</v>
      </c>
      <c r="F18" s="35">
        <f>IFERROR(IF(INDEX('Amortisation Schedule'!G139:G150,MATCH(1E+300,'Amortisation Schedule'!G139:G150))&lt;0.01,0,INDEX('Amortisation Schedule'!G139:G150,MATCH(1E+300,'Amortisation Schedule'!G139:G150))),"")</f>
        <v>3014923.1517178076</v>
      </c>
    </row>
    <row r="19" spans="2:6" x14ac:dyDescent="0.25">
      <c r="B19" s="32">
        <f>IF(145&lt;=Calculator!C9,13,"")</f>
        <v>13</v>
      </c>
      <c r="C19" s="33">
        <f>IF(145&lt;=Calculator!C9,SUMIF('Amortisation Schedule'!B151:B162,"&gt;0",'Amortisation Schedule'!D151:D162),"")</f>
        <v>520693.94001932041</v>
      </c>
      <c r="D19" s="33">
        <f>IF(145&lt;=Calculator!C9,SUMIF('Amortisation Schedule'!B151:B162,"&gt;0",'Amortisation Schedule'!E151:E162),"")</f>
        <v>245719.73975971073</v>
      </c>
      <c r="E19" s="33">
        <f>IF(145&lt;=Calculator!C9,SUMIF('Amortisation Schedule'!B151:B162,"&gt;0",'Amortisation Schedule'!F151:F162),"")</f>
        <v>274974.20025960967</v>
      </c>
      <c r="F19" s="33">
        <f>IFERROR(IF(INDEX('Amortisation Schedule'!G151:G162,MATCH(1E+300,'Amortisation Schedule'!G151:G162))&lt;0.01,0,INDEX('Amortisation Schedule'!G151:G162,MATCH(1E+300,'Amortisation Schedule'!G151:G162))),"")</f>
        <v>2739948.9514581985</v>
      </c>
    </row>
    <row r="20" spans="2:6" x14ac:dyDescent="0.25">
      <c r="B20" s="34">
        <f>IF(157&lt;=Calculator!C9,14,"")</f>
        <v>14</v>
      </c>
      <c r="C20" s="35">
        <f>IF(157&lt;=Calculator!C9,SUMIF('Amortisation Schedule'!B163:B174,"&gt;0",'Amortisation Schedule'!D163:D174),"")</f>
        <v>520693.94001932041</v>
      </c>
      <c r="D20" s="35">
        <f>IF(157&lt;=Calculator!C9,SUMIF('Amortisation Schedule'!B163:B174,"&gt;0",'Amortisation Schedule'!E163:E174),"")</f>
        <v>221414.521101661</v>
      </c>
      <c r="E20" s="35">
        <f>IF(157&lt;=Calculator!C9,SUMIF('Amortisation Schedule'!B163:B174,"&gt;0",'Amortisation Schedule'!F163:F174),"")</f>
        <v>299279.41891765938</v>
      </c>
      <c r="F20" s="35">
        <f>IFERROR(IF(INDEX('Amortisation Schedule'!G163:G174,MATCH(1E+300,'Amortisation Schedule'!G163:G174))&lt;0.01,0,INDEX('Amortisation Schedule'!G163:G174,MATCH(1E+300,'Amortisation Schedule'!G163:G174))),"")</f>
        <v>2440669.5325405393</v>
      </c>
    </row>
    <row r="21" spans="2:6" x14ac:dyDescent="0.25">
      <c r="B21" s="32">
        <f>IF(169&lt;=Calculator!C9,15,"")</f>
        <v>15</v>
      </c>
      <c r="C21" s="33">
        <f>IF(169&lt;=Calculator!C9,SUMIF('Amortisation Schedule'!B175:B186,"&gt;0",'Amortisation Schedule'!D175:D186),"")</f>
        <v>520693.94001932041</v>
      </c>
      <c r="D21" s="33">
        <f>IF(169&lt;=Calculator!C9,SUMIF('Amortisation Schedule'!B175:B186,"&gt;0",'Amortisation Schedule'!E175:E186),"")</f>
        <v>194960.94214850766</v>
      </c>
      <c r="E21" s="33">
        <f>IF(169&lt;=Calculator!C9,SUMIF('Amortisation Schedule'!B175:B186,"&gt;0",'Amortisation Schedule'!F175:F186),"")</f>
        <v>325732.99787081272</v>
      </c>
      <c r="F21" s="33">
        <f>IFERROR(IF(INDEX('Amortisation Schedule'!G175:G186,MATCH(1E+300,'Amortisation Schedule'!G175:G186))&lt;0.01,0,INDEX('Amortisation Schedule'!G175:G186,MATCH(1E+300,'Amortisation Schedule'!G175:G186))),"")</f>
        <v>2114936.5346697262</v>
      </c>
    </row>
    <row r="22" spans="2:6" x14ac:dyDescent="0.25">
      <c r="B22" s="34">
        <f>IF(181&lt;=Calculator!C9,16,"")</f>
        <v>16</v>
      </c>
      <c r="C22" s="35">
        <f>IF(181&lt;=Calculator!C9,SUMIF('Amortisation Schedule'!B187:B198,"&gt;0",'Amortisation Schedule'!D187:D198),"")</f>
        <v>520693.94001932041</v>
      </c>
      <c r="D22" s="35">
        <f>IF(181&lt;=Calculator!C9,SUMIF('Amortisation Schedule'!B187:B198,"&gt;0",'Amortisation Schedule'!E187:E198),"")</f>
        <v>166169.10738758266</v>
      </c>
      <c r="E22" s="35">
        <f>IF(181&lt;=Calculator!C9,SUMIF('Amortisation Schedule'!B187:B198,"&gt;0",'Amortisation Schedule'!F187:F198),"")</f>
        <v>354524.83263173769</v>
      </c>
      <c r="F22" s="35">
        <f>IFERROR(IF(INDEX('Amortisation Schedule'!G187:G198,MATCH(1E+300,'Amortisation Schedule'!G187:G198))&lt;0.01,0,INDEX('Amortisation Schedule'!G187:G198,MATCH(1E+300,'Amortisation Schedule'!G187:G198))),"")</f>
        <v>1760411.7020379882</v>
      </c>
    </row>
    <row r="23" spans="2:6" x14ac:dyDescent="0.25">
      <c r="B23" s="32">
        <f>IF(193&lt;=Calculator!C9,17,"")</f>
        <v>17</v>
      </c>
      <c r="C23" s="33">
        <f>IF(193&lt;=Calculator!C9,SUMIF('Amortisation Schedule'!B199:B210,"&gt;0",'Amortisation Schedule'!D199:D210),"")</f>
        <v>520693.94001932041</v>
      </c>
      <c r="D23" s="33">
        <f>IF(193&lt;=Calculator!C9,SUMIF('Amortisation Schedule'!B199:B210,"&gt;0",'Amortisation Schedule'!E199:E210),"")</f>
        <v>134832.33626982852</v>
      </c>
      <c r="E23" s="33">
        <f>IF(193&lt;=Calculator!C9,SUMIF('Amortisation Schedule'!B199:B210,"&gt;0",'Amortisation Schedule'!F199:F210),"")</f>
        <v>385861.6037494918</v>
      </c>
      <c r="F23" s="33">
        <f>IFERROR(IF(INDEX('Amortisation Schedule'!G199:G210,MATCH(1E+300,'Amortisation Schedule'!G199:G210))&lt;0.01,0,INDEX('Amortisation Schedule'!G199:G210,MATCH(1E+300,'Amortisation Schedule'!G199:G210))),"")</f>
        <v>1374550.0982884967</v>
      </c>
    </row>
    <row r="24" spans="2:6" x14ac:dyDescent="0.25">
      <c r="B24" s="34">
        <f>IF(205&lt;=Calculator!C9,18,"")</f>
        <v>18</v>
      </c>
      <c r="C24" s="35">
        <f>IF(205&lt;=Calculator!C9,SUMIF('Amortisation Schedule'!B211:B222,"&gt;0",'Amortisation Schedule'!D211:D222),"")</f>
        <v>520693.94001932041</v>
      </c>
      <c r="D24" s="35">
        <f>IF(205&lt;=Calculator!C9,SUMIF('Amortisation Schedule'!B211:B222,"&gt;0",'Amortisation Schedule'!E211:E222),"")</f>
        <v>100725.67956522592</v>
      </c>
      <c r="E24" s="35">
        <f>IF(205&lt;=Calculator!C9,SUMIF('Amortisation Schedule'!B211:B222,"&gt;0",'Amortisation Schedule'!F211:F222),"")</f>
        <v>419968.2604540945</v>
      </c>
      <c r="F24" s="35">
        <f>IFERROR(IF(INDEX('Amortisation Schedule'!G211:G222,MATCH(1E+300,'Amortisation Schedule'!G211:G222))&lt;0.01,0,INDEX('Amortisation Schedule'!G211:G222,MATCH(1E+300,'Amortisation Schedule'!G211:G222))),"")</f>
        <v>954581.83783440199</v>
      </c>
    </row>
    <row r="25" spans="2:6" x14ac:dyDescent="0.25">
      <c r="B25" s="32">
        <f>IF(217&lt;=Calculator!C9,19,"")</f>
        <v>19</v>
      </c>
      <c r="C25" s="33">
        <f>IF(217&lt;=Calculator!C9,SUMIF('Amortisation Schedule'!B223:B234,"&gt;0",'Amortisation Schedule'!D223:D234),"")</f>
        <v>520693.94001932041</v>
      </c>
      <c r="D25" s="33">
        <f>IF(217&lt;=Calculator!C9,SUMIF('Amortisation Schedule'!B223:B234,"&gt;0",'Amortisation Schedule'!E223:E234),"")</f>
        <v>63604.304577534349</v>
      </c>
      <c r="E25" s="33">
        <f>IF(217&lt;=Calculator!C9,SUMIF('Amortisation Schedule'!B223:B234,"&gt;0",'Amortisation Schedule'!F223:F234),"")</f>
        <v>457089.63544178603</v>
      </c>
      <c r="F25" s="33">
        <f>IFERROR(IF(INDEX('Amortisation Schedule'!G223:G234,MATCH(1E+300,'Amortisation Schedule'!G223:G234))&lt;0.01,0,INDEX('Amortisation Schedule'!G223:G234,MATCH(1E+300,'Amortisation Schedule'!G223:G234))),"")</f>
        <v>497492.20239261596</v>
      </c>
    </row>
    <row r="26" spans="2:6" x14ac:dyDescent="0.25">
      <c r="B26" s="34">
        <f>IF(229&lt;=Calculator!C9,20,"")</f>
        <v>20</v>
      </c>
      <c r="C26" s="35">
        <f>IF(229&lt;=Calculator!C9,SUMIF('Amortisation Schedule'!B235:B246,"&gt;0",'Amortisation Schedule'!D235:D246),"")</f>
        <v>520693.94001932041</v>
      </c>
      <c r="D26" s="35">
        <f>IF(229&lt;=Calculator!C9,SUMIF('Amortisation Schedule'!B235:B246,"&gt;0",'Amortisation Schedule'!E235:E246),"")</f>
        <v>23201.737626700531</v>
      </c>
      <c r="E26" s="35">
        <f>IF(229&lt;=Calculator!C9,SUMIF('Amortisation Schedule'!B235:B246,"&gt;0",'Amortisation Schedule'!F235:F246),"")</f>
        <v>497492.2023926198</v>
      </c>
      <c r="F26" s="35">
        <f>IFERROR(IF(INDEX('Amortisation Schedule'!G235:G246,MATCH(1E+300,'Amortisation Schedule'!G235:G246))&lt;0.01,0,INDEX('Amortisation Schedule'!G235:G246,MATCH(1E+300,'Amortisation Schedule'!G235:G246))),"")</f>
        <v>0</v>
      </c>
    </row>
    <row r="27" spans="2:6" x14ac:dyDescent="0.25">
      <c r="B27" s="32" t="str">
        <f>IF(241&lt;=Calculator!C9,21,"")</f>
        <v/>
      </c>
      <c r="C27" s="33" t="str">
        <f>IF(241&lt;=Calculator!C9,SUMIF('Amortisation Schedule'!B247:B258,"&gt;0",'Amortisation Schedule'!D247:D258),"")</f>
        <v/>
      </c>
      <c r="D27" s="33" t="str">
        <f>IF(241&lt;=Calculator!C9,SUMIF('Amortisation Schedule'!B247:B258,"&gt;0",'Amortisation Schedule'!E247:E258),"")</f>
        <v/>
      </c>
      <c r="E27" s="33" t="str">
        <f>IF(241&lt;=Calculator!C9,SUMIF('Amortisation Schedule'!B247:B258,"&gt;0",'Amortisation Schedule'!F247:F258),"")</f>
        <v/>
      </c>
      <c r="F27" s="33" t="str">
        <f>IFERROR(IF(INDEX('Amortisation Schedule'!G247:G258,MATCH(1E+300,'Amortisation Schedule'!G247:G258))&lt;0.01,0,INDEX('Amortisation Schedule'!G247:G258,MATCH(1E+300,'Amortisation Schedule'!G247:G258))),"")</f>
        <v/>
      </c>
    </row>
    <row r="28" spans="2:6" x14ac:dyDescent="0.25">
      <c r="B28" s="34" t="str">
        <f>IF(253&lt;=Calculator!C9,22,"")</f>
        <v/>
      </c>
      <c r="C28" s="35" t="str">
        <f>IF(253&lt;=Calculator!C9,SUMIF('Amortisation Schedule'!B259:B270,"&gt;0",'Amortisation Schedule'!D259:D270),"")</f>
        <v/>
      </c>
      <c r="D28" s="35" t="str">
        <f>IF(253&lt;=Calculator!C9,SUMIF('Amortisation Schedule'!B259:B270,"&gt;0",'Amortisation Schedule'!E259:E270),"")</f>
        <v/>
      </c>
      <c r="E28" s="35" t="str">
        <f>IF(253&lt;=Calculator!C9,SUMIF('Amortisation Schedule'!B259:B270,"&gt;0",'Amortisation Schedule'!F259:F270),"")</f>
        <v/>
      </c>
      <c r="F28" s="35" t="str">
        <f>IFERROR(IF(INDEX('Amortisation Schedule'!G259:G270,MATCH(1E+300,'Amortisation Schedule'!G259:G270))&lt;0.01,0,INDEX('Amortisation Schedule'!G259:G270,MATCH(1E+300,'Amortisation Schedule'!G259:G270))),"")</f>
        <v/>
      </c>
    </row>
    <row r="29" spans="2:6" x14ac:dyDescent="0.25">
      <c r="B29" s="32" t="str">
        <f>IF(265&lt;=Calculator!C9,23,"")</f>
        <v/>
      </c>
      <c r="C29" s="33" t="str">
        <f>IF(265&lt;=Calculator!C9,SUMIF('Amortisation Schedule'!B271:B282,"&gt;0",'Amortisation Schedule'!D271:D282),"")</f>
        <v/>
      </c>
      <c r="D29" s="33" t="str">
        <f>IF(265&lt;=Calculator!C9,SUMIF('Amortisation Schedule'!B271:B282,"&gt;0",'Amortisation Schedule'!E271:E282),"")</f>
        <v/>
      </c>
      <c r="E29" s="33" t="str">
        <f>IF(265&lt;=Calculator!C9,SUMIF('Amortisation Schedule'!B271:B282,"&gt;0",'Amortisation Schedule'!F271:F282),"")</f>
        <v/>
      </c>
      <c r="F29" s="33" t="str">
        <f>IFERROR(IF(INDEX('Amortisation Schedule'!G271:G282,MATCH(1E+300,'Amortisation Schedule'!G271:G282))&lt;0.01,0,INDEX('Amortisation Schedule'!G271:G282,MATCH(1E+300,'Amortisation Schedule'!G271:G282))),"")</f>
        <v/>
      </c>
    </row>
    <row r="30" spans="2:6" x14ac:dyDescent="0.25">
      <c r="B30" s="34" t="str">
        <f>IF(277&lt;=Calculator!C9,24,"")</f>
        <v/>
      </c>
      <c r="C30" s="35" t="str">
        <f>IF(277&lt;=Calculator!C9,SUMIF('Amortisation Schedule'!B283:B294,"&gt;0",'Amortisation Schedule'!D283:D294),"")</f>
        <v/>
      </c>
      <c r="D30" s="35" t="str">
        <f>IF(277&lt;=Calculator!C9,SUMIF('Amortisation Schedule'!B283:B294,"&gt;0",'Amortisation Schedule'!E283:E294),"")</f>
        <v/>
      </c>
      <c r="E30" s="35" t="str">
        <f>IF(277&lt;=Calculator!C9,SUMIF('Amortisation Schedule'!B283:B294,"&gt;0",'Amortisation Schedule'!F283:F294),"")</f>
        <v/>
      </c>
      <c r="F30" s="35" t="str">
        <f>IFERROR(IF(INDEX('Amortisation Schedule'!G283:G294,MATCH(1E+300,'Amortisation Schedule'!G283:G294))&lt;0.01,0,INDEX('Amortisation Schedule'!G283:G294,MATCH(1E+300,'Amortisation Schedule'!G283:G294))),"")</f>
        <v/>
      </c>
    </row>
    <row r="31" spans="2:6" x14ac:dyDescent="0.25">
      <c r="B31" s="32" t="str">
        <f>IF(289&lt;=Calculator!C9,25,"")</f>
        <v/>
      </c>
      <c r="C31" s="33" t="str">
        <f>IF(289&lt;=Calculator!C9,SUMIF('Amortisation Schedule'!B295:B306,"&gt;0",'Amortisation Schedule'!D295:D306),"")</f>
        <v/>
      </c>
      <c r="D31" s="33" t="str">
        <f>IF(289&lt;=Calculator!C9,SUMIF('Amortisation Schedule'!B295:B306,"&gt;0",'Amortisation Schedule'!E295:E306),"")</f>
        <v/>
      </c>
      <c r="E31" s="33" t="str">
        <f>IF(289&lt;=Calculator!C9,SUMIF('Amortisation Schedule'!B295:B306,"&gt;0",'Amortisation Schedule'!F295:F306),"")</f>
        <v/>
      </c>
      <c r="F31" s="33" t="str">
        <f>IFERROR(IF(INDEX('Amortisation Schedule'!G295:G306,MATCH(1E+300,'Amortisation Schedule'!G295:G306))&lt;0.01,0,INDEX('Amortisation Schedule'!G295:G306,MATCH(1E+300,'Amortisation Schedule'!G295:G306))),"")</f>
        <v/>
      </c>
    </row>
    <row r="32" spans="2:6" x14ac:dyDescent="0.25">
      <c r="B32" s="34" t="str">
        <f>IF(301&lt;=Calculator!C9,26,"")</f>
        <v/>
      </c>
      <c r="C32" s="35" t="str">
        <f>IF(301&lt;=Calculator!C9,SUMIF('Amortisation Schedule'!B307:B318,"&gt;0",'Amortisation Schedule'!D307:D318),"")</f>
        <v/>
      </c>
      <c r="D32" s="35" t="str">
        <f>IF(301&lt;=Calculator!C9,SUMIF('Amortisation Schedule'!B307:B318,"&gt;0",'Amortisation Schedule'!E307:E318),"")</f>
        <v/>
      </c>
      <c r="E32" s="35" t="str">
        <f>IF(301&lt;=Calculator!C9,SUMIF('Amortisation Schedule'!B307:B318,"&gt;0",'Amortisation Schedule'!F307:F318),"")</f>
        <v/>
      </c>
      <c r="F32" s="35" t="str">
        <f>IFERROR(IF(INDEX('Amortisation Schedule'!G307:G318,MATCH(1E+300,'Amortisation Schedule'!G307:G318))&lt;0.01,0,INDEX('Amortisation Schedule'!G307:G318,MATCH(1E+300,'Amortisation Schedule'!G307:G318))),"")</f>
        <v/>
      </c>
    </row>
    <row r="33" spans="1:6" x14ac:dyDescent="0.25">
      <c r="B33" s="32" t="str">
        <f>IF(313&lt;=Calculator!C9,27,"")</f>
        <v/>
      </c>
      <c r="C33" s="33" t="str">
        <f>IF(313&lt;=Calculator!C9,SUMIF('Amortisation Schedule'!B319:B330,"&gt;0",'Amortisation Schedule'!D319:D330),"")</f>
        <v/>
      </c>
      <c r="D33" s="33" t="str">
        <f>IF(313&lt;=Calculator!C9,SUMIF('Amortisation Schedule'!B319:B330,"&gt;0",'Amortisation Schedule'!E319:E330),"")</f>
        <v/>
      </c>
      <c r="E33" s="33" t="str">
        <f>IF(313&lt;=Calculator!C9,SUMIF('Amortisation Schedule'!B319:B330,"&gt;0",'Amortisation Schedule'!F319:F330),"")</f>
        <v/>
      </c>
      <c r="F33" s="33" t="str">
        <f>IFERROR(IF(INDEX('Amortisation Schedule'!G319:G330,MATCH(1E+300,'Amortisation Schedule'!G319:G330))&lt;0.01,0,INDEX('Amortisation Schedule'!G319:G330,MATCH(1E+300,'Amortisation Schedule'!G319:G330))),"")</f>
        <v/>
      </c>
    </row>
    <row r="34" spans="1:6" x14ac:dyDescent="0.25">
      <c r="B34" s="34" t="str">
        <f>IF(325&lt;=Calculator!C9,28,"")</f>
        <v/>
      </c>
      <c r="C34" s="35" t="str">
        <f>IF(325&lt;=Calculator!C9,SUMIF('Amortisation Schedule'!B331:B342,"&gt;0",'Amortisation Schedule'!D331:D342),"")</f>
        <v/>
      </c>
      <c r="D34" s="35" t="str">
        <f>IF(325&lt;=Calculator!C9,SUMIF('Amortisation Schedule'!B331:B342,"&gt;0",'Amortisation Schedule'!E331:E342),"")</f>
        <v/>
      </c>
      <c r="E34" s="35" t="str">
        <f>IF(325&lt;=Calculator!C9,SUMIF('Amortisation Schedule'!B331:B342,"&gt;0",'Amortisation Schedule'!F331:F342),"")</f>
        <v/>
      </c>
      <c r="F34" s="35" t="str">
        <f>IFERROR(IF(INDEX('Amortisation Schedule'!G331:G342,MATCH(1E+300,'Amortisation Schedule'!G331:G342))&lt;0.01,0,INDEX('Amortisation Schedule'!G331:G342,MATCH(1E+300,'Amortisation Schedule'!G331:G342))),"")</f>
        <v/>
      </c>
    </row>
    <row r="35" spans="1:6" x14ac:dyDescent="0.25">
      <c r="B35" s="32" t="str">
        <f>IF(337&lt;=Calculator!C9,29,"")</f>
        <v/>
      </c>
      <c r="C35" s="33" t="str">
        <f>IF(337&lt;=Calculator!C9,SUMIF('Amortisation Schedule'!B343:B354,"&gt;0",'Amortisation Schedule'!D343:D354),"")</f>
        <v/>
      </c>
      <c r="D35" s="33" t="str">
        <f>IF(337&lt;=Calculator!C9,SUMIF('Amortisation Schedule'!B343:B354,"&gt;0",'Amortisation Schedule'!E343:E354),"")</f>
        <v/>
      </c>
      <c r="E35" s="33" t="str">
        <f>IF(337&lt;=Calculator!C9,SUMIF('Amortisation Schedule'!B343:B354,"&gt;0",'Amortisation Schedule'!F343:F354),"")</f>
        <v/>
      </c>
      <c r="F35" s="33" t="str">
        <f>IFERROR(IF(INDEX('Amortisation Schedule'!G343:G354,MATCH(1E+300,'Amortisation Schedule'!G343:G354))&lt;0.01,0,INDEX('Amortisation Schedule'!G343:G354,MATCH(1E+300,'Amortisation Schedule'!G343:G354))),"")</f>
        <v/>
      </c>
    </row>
    <row r="36" spans="1:6" x14ac:dyDescent="0.25">
      <c r="B36" s="34" t="str">
        <f>IF(349&lt;=Calculator!C9,30,"")</f>
        <v/>
      </c>
      <c r="C36" s="35" t="str">
        <f>IF(349&lt;=Calculator!C9,SUMIF('Amortisation Schedule'!B355:B366,"&gt;0",'Amortisation Schedule'!D355:D366),"")</f>
        <v/>
      </c>
      <c r="D36" s="35" t="str">
        <f>IF(349&lt;=Calculator!C9,SUMIF('Amortisation Schedule'!B355:B366,"&gt;0",'Amortisation Schedule'!E355:E366),"")</f>
        <v/>
      </c>
      <c r="E36" s="35" t="str">
        <f>IF(349&lt;=Calculator!C9,SUMIF('Amortisation Schedule'!B355:B366,"&gt;0",'Amortisation Schedule'!F355:F366),"")</f>
        <v/>
      </c>
      <c r="F36" s="35" t="str">
        <f>IFERROR(IF(INDEX('Amortisation Schedule'!G355:G366,MATCH(1E+300,'Amortisation Schedule'!G355:G366))&lt;0.01,0,INDEX('Amortisation Schedule'!G355:G366,MATCH(1E+300,'Amortisation Schedule'!G355:G366))),"")</f>
        <v/>
      </c>
    </row>
    <row r="37" spans="1:6" x14ac:dyDescent="0.25">
      <c r="B37" s="25" t="s">
        <v>48</v>
      </c>
      <c r="C37" s="36">
        <f>SUM(C7:C36)</f>
        <v>10413878.80038641</v>
      </c>
      <c r="D37" s="36">
        <f>SUM(D7:D36)</f>
        <v>5413878.8003864037</v>
      </c>
      <c r="E37" s="36">
        <f>SUM(E7:E36)</f>
        <v>5000000.0000000028</v>
      </c>
      <c r="F37" s="37"/>
    </row>
    <row r="40" spans="1:6" ht="18" customHeight="1" x14ac:dyDescent="0.25">
      <c r="A40" s="2" t="s">
        <v>14</v>
      </c>
      <c r="B40" s="2"/>
      <c r="C40" s="2"/>
      <c r="D40" s="2"/>
      <c r="E40" s="2"/>
      <c r="F40" s="2"/>
    </row>
  </sheetData>
  <sheetProtection password="BBBC" sheet="1" objects="1" scenarios="1"/>
  <mergeCells count="5">
    <mergeCell ref="A1:H1"/>
    <mergeCell ref="A2:H2"/>
    <mergeCell ref="A3:H3"/>
    <mergeCell ref="A4:H4"/>
    <mergeCell ref="A40:F40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Cover</vt:lpstr>
      <vt:lpstr>Calculator</vt:lpstr>
      <vt:lpstr>Amortisation Schedule</vt:lpstr>
      <vt:lpstr>Yearly 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Tirumalesh Malla</cp:lastModifiedBy>
  <cp:revision>0</cp:revision>
  <dcterms:created xsi:type="dcterms:W3CDTF">2026-04-20T06:10:47Z</dcterms:created>
  <dcterms:modified xsi:type="dcterms:W3CDTF">2026-04-20T06:15:13Z</dcterms:modified>
  <dc:language>en-US</dc:language>
</cp:coreProperties>
</file>